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X:\RSI\external\!publish\Forest Health\2019 AOS data summaries\"/>
    </mc:Choice>
  </mc:AlternateContent>
  <xr:revisionPtr revIDLastSave="0" documentId="13_ncr:1_{F9F2CC91-8D95-41A1-912F-09F74FDCDC29}" xr6:coauthVersionLast="41" xr6:coauthVersionMax="41" xr10:uidLastSave="{00000000-0000-0000-0000-000000000000}"/>
  <bookViews>
    <workbookView xWindow="720" yWindow="720" windowWidth="14520" windowHeight="7783" tabRatio="726" xr2:uid="{00000000-000D-0000-FFFF-FFFF00000000}"/>
  </bookViews>
  <sheets>
    <sheet name="Table2" sheetId="46" r:id="rId1"/>
    <sheet name="Yearly_Adult_average" sheetId="20" r:id="rId2"/>
    <sheet name="TrapResults19" sheetId="45" r:id="rId3"/>
    <sheet name="TrapResults18" sheetId="42" r:id="rId4"/>
    <sheet name="TrapResults17" sheetId="41" r:id="rId5"/>
    <sheet name="TrapResults16" sheetId="39" r:id="rId6"/>
    <sheet name="TrapResults15" sheetId="36" r:id="rId7"/>
    <sheet name="TrapResults14" sheetId="35" r:id="rId8"/>
    <sheet name="TrapResults12" sheetId="32" r:id="rId9"/>
    <sheet name="TrapResults11" sheetId="28" r:id="rId10"/>
    <sheet name="TrapResult10" sheetId="27" r:id="rId11"/>
    <sheet name="TrapResults09" sheetId="24" r:id="rId12"/>
    <sheet name="TrapResults08 " sheetId="19" r:id="rId13"/>
    <sheet name="TrapResults07" sheetId="11" r:id="rId14"/>
    <sheet name="LarvalTrends" sheetId="30" r:id="rId15"/>
    <sheet name="Yearly_LarvalAvg" sheetId="12" r:id="rId16"/>
    <sheet name="2019_NFR" sheetId="44" r:id="rId17"/>
    <sheet name="2018_NFR" sheetId="43" r:id="rId18"/>
    <sheet name="2017_NFR" sheetId="40" r:id="rId19"/>
    <sheet name="2016_NFR" sheetId="38" r:id="rId20"/>
    <sheet name="2015_NFR" sheetId="37" r:id="rId21"/>
    <sheet name="2014_NFR" sheetId="34" r:id="rId22"/>
    <sheet name="2013_NFR" sheetId="33" r:id="rId23"/>
    <sheet name="2012_NFR " sheetId="31" r:id="rId24"/>
    <sheet name="2011_NFR" sheetId="29" r:id="rId25"/>
    <sheet name="2010_NFR" sheetId="26" r:id="rId26"/>
    <sheet name="2009" sheetId="23" r:id="rId27"/>
    <sheet name="2008" sheetId="18" r:id="rId28"/>
    <sheet name="2007" sheetId="17" r:id="rId29"/>
    <sheet name="2006_Forrest" sheetId="13" r:id="rId30"/>
    <sheet name="2005_Forrest" sheetId="14" r:id="rId31"/>
    <sheet name="2004_Forrest" sheetId="15" r:id="rId32"/>
    <sheet name="2003" sheetId="9" r:id="rId33"/>
    <sheet name="2002" sheetId="5" r:id="rId34"/>
    <sheet name="2001" sheetId="1" r:id="rId35"/>
    <sheet name="2000" sheetId="4" r:id="rId36"/>
  </sheets>
  <definedNames>
    <definedName name="_xlnm._FilterDatabase" localSheetId="35" hidden="1">'2000'!$C$3:$S$30</definedName>
    <definedName name="_xlnm._FilterDatabase" localSheetId="34" hidden="1">'2001'!$B$3:$V$31</definedName>
    <definedName name="_xlnm._FilterDatabase" localSheetId="33" hidden="1">'2002'!$D$2:$P$37</definedName>
    <definedName name="_xlnm._FilterDatabase" localSheetId="32" hidden="1">'2003'!$E$2:$O$37</definedName>
    <definedName name="_xlnm._FilterDatabase" localSheetId="31" hidden="1">'2004_Forrest'!$B$4:$O$32</definedName>
    <definedName name="_xlnm._FilterDatabase" localSheetId="30" hidden="1">'2005_Forrest'!$B$3:$O$31</definedName>
    <definedName name="_xlnm._FilterDatabase" localSheetId="29" hidden="1">'2006_Forrest'!$B$3:$P$28</definedName>
    <definedName name="_xlnm._FilterDatabase" localSheetId="26" hidden="1">'2009'!$B$2:$S$30</definedName>
    <definedName name="_xlnm._FilterDatabase" localSheetId="25" hidden="1">'2010_NFR'!$A$2:$R$31</definedName>
    <definedName name="_xlnm._FilterDatabase" localSheetId="24" hidden="1">'2011_NFR'!$A$1:$AE$29</definedName>
    <definedName name="_xlnm._FilterDatabase" localSheetId="23" hidden="1">'2012_NFR '!$A$1:$AG$29</definedName>
    <definedName name="_xlnm._FilterDatabase" localSheetId="22" hidden="1">'2013_NFR'!$A$1:$AG$29</definedName>
    <definedName name="_xlnm._FilterDatabase" localSheetId="21" hidden="1">'2014_NFR'!$A$1:$AG$29</definedName>
    <definedName name="_xlnm._FilterDatabase" localSheetId="20" hidden="1">'2015_NFR'!$A$1:$AG$29</definedName>
    <definedName name="_xlnm._FilterDatabase" localSheetId="19" hidden="1">'2016_NFR'!$A$1:$AG$29</definedName>
    <definedName name="_xlnm._FilterDatabase" localSheetId="18" hidden="1">'2017_NFR'!$A$1:$AH$29</definedName>
    <definedName name="_xlnm._FilterDatabase" localSheetId="17" hidden="1">'2018_NFR'!$A$1:$AF$29</definedName>
    <definedName name="_xlnm._FilterDatabase" localSheetId="16" hidden="1">'2019_NFR'!$A$1:$AJ$29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3" i="46" l="1"/>
  <c r="I13" i="46"/>
  <c r="H13" i="46"/>
  <c r="G13" i="46"/>
  <c r="F13" i="46"/>
  <c r="E13" i="46"/>
  <c r="D13" i="46"/>
  <c r="O13" i="20" l="1"/>
  <c r="J4" i="45"/>
  <c r="J5" i="45"/>
  <c r="J6" i="45"/>
  <c r="J7" i="45"/>
  <c r="J8" i="45"/>
  <c r="J9" i="45"/>
  <c r="J10" i="45"/>
  <c r="J11" i="45"/>
  <c r="J12" i="45"/>
  <c r="J3" i="45"/>
  <c r="I4" i="45"/>
  <c r="I5" i="45"/>
  <c r="I6" i="45"/>
  <c r="I7" i="45"/>
  <c r="I8" i="45"/>
  <c r="I9" i="45"/>
  <c r="I10" i="45"/>
  <c r="I11" i="45"/>
  <c r="I12" i="45"/>
  <c r="I3" i="45"/>
  <c r="U12" i="45"/>
  <c r="V12" i="45" s="1"/>
  <c r="U11" i="45"/>
  <c r="V11" i="45" s="1"/>
  <c r="U10" i="45"/>
  <c r="V10" i="45" s="1"/>
  <c r="U9" i="45"/>
  <c r="V9" i="45" s="1"/>
  <c r="U8" i="45"/>
  <c r="V8" i="45" s="1"/>
  <c r="U7" i="45"/>
  <c r="V7" i="45" s="1"/>
  <c r="U6" i="45"/>
  <c r="V6" i="45" s="1"/>
  <c r="U5" i="45"/>
  <c r="V5" i="45" s="1"/>
  <c r="U4" i="45"/>
  <c r="V4" i="45" s="1"/>
  <c r="U3" i="45"/>
  <c r="V3" i="45" s="1"/>
  <c r="I14" i="45" l="1"/>
  <c r="J13" i="45"/>
  <c r="V13" i="45"/>
  <c r="U14" i="45"/>
  <c r="AG27" i="44"/>
  <c r="AH27" i="44"/>
  <c r="G27" i="44"/>
  <c r="H27" i="44"/>
  <c r="I27" i="44"/>
  <c r="J27" i="44"/>
  <c r="K27" i="44"/>
  <c r="L27" i="44"/>
  <c r="M27" i="44"/>
  <c r="N27" i="44"/>
  <c r="O27" i="44"/>
  <c r="P27" i="44"/>
  <c r="Q27" i="44"/>
  <c r="R27" i="44"/>
  <c r="S27" i="44"/>
  <c r="T27" i="44"/>
  <c r="U27" i="44"/>
  <c r="V27" i="44"/>
  <c r="W27" i="44"/>
  <c r="X27" i="44"/>
  <c r="Y27" i="44"/>
  <c r="Z27" i="44"/>
  <c r="AA27" i="44"/>
  <c r="AB27" i="44"/>
  <c r="AC27" i="44"/>
  <c r="AD27" i="44"/>
  <c r="AE27" i="44"/>
  <c r="AF27" i="44"/>
  <c r="AI27" i="44"/>
  <c r="F27" i="44"/>
  <c r="AE27" i="43" l="1"/>
  <c r="AD27" i="43"/>
  <c r="AC27" i="43"/>
  <c r="AB27" i="43"/>
  <c r="AA27" i="43"/>
  <c r="Z27" i="43"/>
  <c r="Y27" i="43"/>
  <c r="X27" i="43"/>
  <c r="W27" i="43"/>
  <c r="V27" i="43"/>
  <c r="U27" i="43"/>
  <c r="T27" i="43"/>
  <c r="S27" i="43"/>
  <c r="R27" i="43"/>
  <c r="Q27" i="43"/>
  <c r="P27" i="43"/>
  <c r="O27" i="43"/>
  <c r="N27" i="43"/>
  <c r="M27" i="43"/>
  <c r="L27" i="43"/>
  <c r="K27" i="43"/>
  <c r="J27" i="43"/>
  <c r="I27" i="43"/>
  <c r="H27" i="43"/>
  <c r="G27" i="43"/>
  <c r="F27" i="43"/>
  <c r="E27" i="43"/>
  <c r="D27" i="43"/>
  <c r="AF27" i="43" l="1"/>
  <c r="AJ27" i="44"/>
  <c r="N13" i="20" l="1"/>
  <c r="I4" i="42"/>
  <c r="J4" i="42" s="1"/>
  <c r="I5" i="42"/>
  <c r="J5" i="42" s="1"/>
  <c r="I6" i="42"/>
  <c r="J6" i="42" s="1"/>
  <c r="I7" i="42"/>
  <c r="J7" i="42" s="1"/>
  <c r="I8" i="42"/>
  <c r="J8" i="42" s="1"/>
  <c r="I9" i="42"/>
  <c r="J9" i="42" s="1"/>
  <c r="I10" i="42"/>
  <c r="J10" i="42" s="1"/>
  <c r="I11" i="42"/>
  <c r="J11" i="42" s="1"/>
  <c r="I12" i="42"/>
  <c r="J12" i="42" s="1"/>
  <c r="I3" i="42"/>
  <c r="J3" i="42" s="1"/>
  <c r="J13" i="42" l="1"/>
  <c r="I14" i="42"/>
  <c r="M13" i="20"/>
  <c r="J9" i="41" l="1"/>
  <c r="I5" i="41"/>
  <c r="J5" i="41" s="1"/>
  <c r="I6" i="41"/>
  <c r="J6" i="41" s="1"/>
  <c r="I7" i="41"/>
  <c r="J7" i="41" s="1"/>
  <c r="I8" i="41"/>
  <c r="J8" i="41" s="1"/>
  <c r="I9" i="41"/>
  <c r="I10" i="41"/>
  <c r="J10" i="41" s="1"/>
  <c r="I11" i="41"/>
  <c r="J11" i="41" s="1"/>
  <c r="I12" i="41"/>
  <c r="J12" i="41" s="1"/>
  <c r="I13" i="41"/>
  <c r="J13" i="41" s="1"/>
  <c r="I4" i="41"/>
  <c r="J4" i="41" s="1"/>
  <c r="I14" i="41" l="1"/>
  <c r="T15" i="30"/>
  <c r="S28" i="30"/>
  <c r="R28" i="30"/>
  <c r="P28" i="30"/>
  <c r="R15" i="30"/>
  <c r="Q22" i="30"/>
  <c r="Q20" i="30"/>
  <c r="Q19" i="30"/>
  <c r="Q18" i="30"/>
  <c r="Q17" i="30"/>
  <c r="Q27" i="30"/>
  <c r="Q26" i="30"/>
  <c r="Q25" i="30"/>
  <c r="Q24" i="30"/>
  <c r="Q23" i="30"/>
  <c r="Q15" i="30"/>
  <c r="G27" i="40"/>
  <c r="H27" i="40"/>
  <c r="I27" i="40"/>
  <c r="J27" i="40"/>
  <c r="K27" i="40"/>
  <c r="L27" i="40"/>
  <c r="M27" i="40"/>
  <c r="N27" i="40"/>
  <c r="O27" i="40"/>
  <c r="P27" i="40"/>
  <c r="Q27" i="40"/>
  <c r="R27" i="40"/>
  <c r="S27" i="40"/>
  <c r="T27" i="40"/>
  <c r="U27" i="40"/>
  <c r="V27" i="40"/>
  <c r="W27" i="40"/>
  <c r="X27" i="40"/>
  <c r="Y27" i="40"/>
  <c r="Z27" i="40"/>
  <c r="AA27" i="40"/>
  <c r="AB27" i="40"/>
  <c r="AC27" i="40"/>
  <c r="AD27" i="40"/>
  <c r="AE27" i="40"/>
  <c r="AF27" i="40"/>
  <c r="AG27" i="40"/>
  <c r="F27" i="40"/>
  <c r="Q28" i="30" l="1"/>
  <c r="J27" i="38"/>
  <c r="G27" i="38"/>
  <c r="L13" i="20"/>
  <c r="I10" i="39"/>
  <c r="J5" i="39"/>
  <c r="J4" i="39"/>
  <c r="J13" i="39"/>
  <c r="I13" i="39"/>
  <c r="J12" i="39"/>
  <c r="I12" i="39"/>
  <c r="J11" i="39"/>
  <c r="I11" i="39"/>
  <c r="J10" i="39"/>
  <c r="J9" i="39"/>
  <c r="I9" i="39"/>
  <c r="J8" i="39"/>
  <c r="I8" i="39"/>
  <c r="J7" i="39"/>
  <c r="I7" i="39"/>
  <c r="J6" i="39"/>
  <c r="I6" i="39"/>
  <c r="I5" i="39"/>
  <c r="I4" i="39"/>
  <c r="I14" i="39" s="1"/>
  <c r="J3" i="39"/>
  <c r="I3" i="39"/>
  <c r="K13" i="20" l="1"/>
  <c r="O27" i="37" l="1"/>
  <c r="J27" i="37"/>
  <c r="I27" i="37"/>
  <c r="H27" i="37"/>
  <c r="G27" i="37"/>
  <c r="J13" i="36"/>
  <c r="I13" i="36"/>
  <c r="J12" i="36"/>
  <c r="I12" i="36"/>
  <c r="J11" i="36"/>
  <c r="I11" i="36"/>
  <c r="J10" i="36"/>
  <c r="I10" i="36"/>
  <c r="J9" i="36"/>
  <c r="I9" i="36"/>
  <c r="J8" i="36"/>
  <c r="I8" i="36"/>
  <c r="J7" i="36"/>
  <c r="I7" i="36"/>
  <c r="J6" i="36"/>
  <c r="I6" i="36"/>
  <c r="J5" i="36"/>
  <c r="I5" i="36"/>
  <c r="I4" i="36"/>
  <c r="J3" i="36"/>
  <c r="I3" i="36"/>
  <c r="J27" i="35"/>
  <c r="I27" i="35"/>
  <c r="J26" i="35"/>
  <c r="I26" i="35"/>
  <c r="J25" i="35"/>
  <c r="I25" i="35"/>
  <c r="J24" i="35"/>
  <c r="I24" i="35"/>
  <c r="J23" i="35"/>
  <c r="I23" i="35"/>
  <c r="J22" i="35"/>
  <c r="I22" i="35"/>
  <c r="J21" i="35"/>
  <c r="I21" i="35"/>
  <c r="J20" i="35"/>
  <c r="I20" i="35"/>
  <c r="J19" i="35"/>
  <c r="I19" i="35"/>
  <c r="I18" i="35"/>
  <c r="J17" i="35"/>
  <c r="I17" i="35"/>
  <c r="I28" i="35" l="1"/>
  <c r="I14" i="36"/>
  <c r="J14" i="36"/>
  <c r="J13" i="20"/>
  <c r="I13" i="20"/>
  <c r="I5" i="35" l="1"/>
  <c r="I6" i="35"/>
  <c r="I7" i="35"/>
  <c r="I8" i="35"/>
  <c r="I9" i="35"/>
  <c r="I10" i="35"/>
  <c r="I11" i="35"/>
  <c r="I12" i="35"/>
  <c r="I13" i="35"/>
  <c r="J4" i="35"/>
  <c r="J5" i="35"/>
  <c r="J6" i="35"/>
  <c r="J7" i="35"/>
  <c r="J8" i="35"/>
  <c r="J9" i="35"/>
  <c r="J10" i="35"/>
  <c r="J11" i="35"/>
  <c r="J12" i="35"/>
  <c r="J13" i="35"/>
  <c r="I4" i="35"/>
  <c r="J3" i="35"/>
  <c r="I3" i="35"/>
  <c r="H27" i="34"/>
  <c r="H29" i="34" s="1"/>
  <c r="I27" i="34"/>
  <c r="J27" i="34"/>
  <c r="L27" i="34"/>
  <c r="L28" i="34" s="1"/>
  <c r="M27" i="34"/>
  <c r="M28" i="34" s="1"/>
  <c r="N27" i="34"/>
  <c r="N28" i="34" s="1"/>
  <c r="O27" i="34"/>
  <c r="O28" i="34" s="1"/>
  <c r="P27" i="34"/>
  <c r="P28" i="34" s="1"/>
  <c r="Q27" i="34"/>
  <c r="Q28" i="34" s="1"/>
  <c r="R27" i="34"/>
  <c r="R28" i="34" s="1"/>
  <c r="S27" i="34"/>
  <c r="S28" i="34" s="1"/>
  <c r="T27" i="34"/>
  <c r="T28" i="34" s="1"/>
  <c r="U27" i="34"/>
  <c r="U28" i="34" s="1"/>
  <c r="V27" i="34"/>
  <c r="V28" i="34" s="1"/>
  <c r="W27" i="34"/>
  <c r="W28" i="34" s="1"/>
  <c r="X27" i="34"/>
  <c r="X28" i="34" s="1"/>
  <c r="Y27" i="34"/>
  <c r="Y28" i="34" s="1"/>
  <c r="Z27" i="34"/>
  <c r="Z28" i="34" s="1"/>
  <c r="AA27" i="34"/>
  <c r="AA28" i="34" s="1"/>
  <c r="AB27" i="34"/>
  <c r="AB28" i="34" s="1"/>
  <c r="AC27" i="34"/>
  <c r="AC28" i="34" s="1"/>
  <c r="AD27" i="34"/>
  <c r="AD28" i="34" s="1"/>
  <c r="AE27" i="34"/>
  <c r="AE28" i="34" s="1"/>
  <c r="AF27" i="34"/>
  <c r="AF28" i="34" s="1"/>
  <c r="G27" i="34"/>
  <c r="G28" i="34" s="1"/>
  <c r="I28" i="34"/>
  <c r="J28" i="34"/>
  <c r="J14" i="35" l="1"/>
  <c r="I14" i="35"/>
  <c r="H28" i="34"/>
  <c r="H26" i="33"/>
  <c r="I26" i="33"/>
  <c r="G26" i="33"/>
  <c r="G24" i="33"/>
  <c r="I12" i="33"/>
  <c r="H12" i="33"/>
  <c r="G12" i="33"/>
  <c r="G8" i="33"/>
  <c r="H22" i="33"/>
  <c r="I22" i="33"/>
  <c r="G22" i="33"/>
  <c r="I13" i="33"/>
  <c r="H13" i="33"/>
  <c r="G13" i="33"/>
  <c r="K13" i="33"/>
  <c r="G17" i="33"/>
  <c r="I15" i="33"/>
  <c r="G15" i="33"/>
  <c r="I14" i="33"/>
  <c r="H14" i="33"/>
  <c r="G14" i="33"/>
  <c r="I16" i="33"/>
  <c r="I23" i="33"/>
  <c r="G23" i="33"/>
  <c r="I24" i="33"/>
  <c r="I25" i="33"/>
  <c r="G25" i="33"/>
  <c r="AF27" i="33"/>
  <c r="AF28" i="33" s="1"/>
  <c r="AE27" i="33"/>
  <c r="AE28" i="33" s="1"/>
  <c r="AD27" i="33"/>
  <c r="AD28" i="33" s="1"/>
  <c r="AC27" i="33"/>
  <c r="AC28" i="33" s="1"/>
  <c r="AB27" i="33"/>
  <c r="AB28" i="33" s="1"/>
  <c r="AA27" i="33"/>
  <c r="AA28" i="33" s="1"/>
  <c r="Z27" i="33"/>
  <c r="Z28" i="33" s="1"/>
  <c r="Y27" i="33"/>
  <c r="Y28" i="33" s="1"/>
  <c r="X27" i="33"/>
  <c r="X28" i="33" s="1"/>
  <c r="W27" i="33"/>
  <c r="W28" i="33" s="1"/>
  <c r="V27" i="33"/>
  <c r="V28" i="33" s="1"/>
  <c r="U27" i="33"/>
  <c r="U28" i="33" s="1"/>
  <c r="T27" i="33"/>
  <c r="T28" i="33" s="1"/>
  <c r="S27" i="33"/>
  <c r="S28" i="33" s="1"/>
  <c r="R27" i="33"/>
  <c r="R28" i="33" s="1"/>
  <c r="Q27" i="33"/>
  <c r="Q28" i="33" s="1"/>
  <c r="P27" i="33"/>
  <c r="P28" i="33" s="1"/>
  <c r="O27" i="33"/>
  <c r="O28" i="33" s="1"/>
  <c r="N27" i="33"/>
  <c r="N28" i="33" s="1"/>
  <c r="M27" i="33"/>
  <c r="M28" i="33" s="1"/>
  <c r="L27" i="33"/>
  <c r="L28" i="33" s="1"/>
  <c r="K27" i="33"/>
  <c r="K28" i="33" s="1"/>
  <c r="J27" i="33"/>
  <c r="J28" i="33" s="1"/>
  <c r="H13" i="20"/>
  <c r="D13" i="20"/>
  <c r="E13" i="20"/>
  <c r="F13" i="20"/>
  <c r="C13" i="20"/>
  <c r="P15" i="30"/>
  <c r="H27" i="31"/>
  <c r="H28" i="31"/>
  <c r="I27" i="31"/>
  <c r="I28" i="31" s="1"/>
  <c r="J27" i="31"/>
  <c r="J28" i="31" s="1"/>
  <c r="K27" i="31"/>
  <c r="K28" i="31" s="1"/>
  <c r="L27" i="31"/>
  <c r="L28" i="31" s="1"/>
  <c r="M27" i="31"/>
  <c r="M28" i="31" s="1"/>
  <c r="N27" i="31"/>
  <c r="N28" i="31" s="1"/>
  <c r="O27" i="31"/>
  <c r="O28" i="31" s="1"/>
  <c r="P27" i="31"/>
  <c r="P28" i="31" s="1"/>
  <c r="Q27" i="31"/>
  <c r="Q28" i="31" s="1"/>
  <c r="R27" i="31"/>
  <c r="R28" i="31"/>
  <c r="S27" i="31"/>
  <c r="S28" i="31"/>
  <c r="T27" i="31"/>
  <c r="T28" i="31"/>
  <c r="U27" i="31"/>
  <c r="U28" i="31" s="1"/>
  <c r="V27" i="31"/>
  <c r="V28" i="31" s="1"/>
  <c r="W27" i="31"/>
  <c r="W28" i="31" s="1"/>
  <c r="X27" i="31"/>
  <c r="X28" i="31" s="1"/>
  <c r="Y27" i="31"/>
  <c r="Y28" i="31" s="1"/>
  <c r="Z27" i="31"/>
  <c r="Z28" i="31"/>
  <c r="AA27" i="31"/>
  <c r="AA28" i="31"/>
  <c r="AB27" i="31"/>
  <c r="AB28" i="31" s="1"/>
  <c r="AC27" i="31"/>
  <c r="AC28" i="31" s="1"/>
  <c r="AD27" i="31"/>
  <c r="AD28" i="31" s="1"/>
  <c r="AE27" i="31"/>
  <c r="AE28" i="31" s="1"/>
  <c r="AF27" i="31"/>
  <c r="AF28" i="31" s="1"/>
  <c r="G27" i="31"/>
  <c r="G28" i="31" s="1"/>
  <c r="N28" i="30"/>
  <c r="N15" i="30"/>
  <c r="E15" i="30"/>
  <c r="F15" i="30"/>
  <c r="G15" i="30"/>
  <c r="H15" i="30"/>
  <c r="I15" i="30"/>
  <c r="J15" i="30"/>
  <c r="K15" i="30"/>
  <c r="L15" i="30"/>
  <c r="M15" i="30"/>
  <c r="O15" i="30"/>
  <c r="D15" i="30"/>
  <c r="H27" i="29"/>
  <c r="H28" i="29" s="1"/>
  <c r="I27" i="29"/>
  <c r="I28" i="29" s="1"/>
  <c r="J27" i="29"/>
  <c r="J28" i="29" s="1"/>
  <c r="K27" i="29"/>
  <c r="K28" i="29" s="1"/>
  <c r="L27" i="29"/>
  <c r="L28" i="29" s="1"/>
  <c r="M27" i="29"/>
  <c r="M28" i="29" s="1"/>
  <c r="N27" i="29"/>
  <c r="N28" i="29" s="1"/>
  <c r="O27" i="29"/>
  <c r="O28" i="29" s="1"/>
  <c r="P27" i="29"/>
  <c r="P28" i="29" s="1"/>
  <c r="Q27" i="29"/>
  <c r="Q28" i="29" s="1"/>
  <c r="R27" i="29"/>
  <c r="R28" i="29"/>
  <c r="S27" i="29"/>
  <c r="S28" i="29" s="1"/>
  <c r="T27" i="29"/>
  <c r="T28" i="29" s="1"/>
  <c r="U27" i="29"/>
  <c r="U28" i="29" s="1"/>
  <c r="V27" i="29"/>
  <c r="V28" i="29"/>
  <c r="W27" i="29"/>
  <c r="W28" i="29"/>
  <c r="X27" i="29"/>
  <c r="X28" i="29" s="1"/>
  <c r="Y27" i="29"/>
  <c r="Y28" i="29" s="1"/>
  <c r="Z27" i="29"/>
  <c r="Z28" i="29" s="1"/>
  <c r="AA27" i="29"/>
  <c r="AA28" i="29" s="1"/>
  <c r="AB27" i="29"/>
  <c r="AB28" i="29" s="1"/>
  <c r="AC27" i="29"/>
  <c r="AC28" i="29" s="1"/>
  <c r="AD27" i="29"/>
  <c r="AD28" i="29" s="1"/>
  <c r="G27" i="29"/>
  <c r="G28" i="29" s="1"/>
  <c r="I6" i="28"/>
  <c r="J6" i="28" s="1"/>
  <c r="I3" i="28"/>
  <c r="J3" i="28" s="1"/>
  <c r="I7" i="28"/>
  <c r="J7" i="28"/>
  <c r="I11" i="28"/>
  <c r="J11" i="28" s="1"/>
  <c r="I5" i="28"/>
  <c r="J5" i="28" s="1"/>
  <c r="I8" i="28"/>
  <c r="J8" i="28" s="1"/>
  <c r="I12" i="28"/>
  <c r="J12" i="28" s="1"/>
  <c r="I9" i="28"/>
  <c r="J9" i="28"/>
  <c r="I10" i="28"/>
  <c r="J10" i="28" s="1"/>
  <c r="I4" i="28"/>
  <c r="J4" i="28" s="1"/>
  <c r="L15" i="24"/>
  <c r="J13" i="27"/>
  <c r="I13" i="27"/>
  <c r="J12" i="27"/>
  <c r="I12" i="27"/>
  <c r="J11" i="27"/>
  <c r="I11" i="27"/>
  <c r="J10" i="27"/>
  <c r="I10" i="27"/>
  <c r="J9" i="27"/>
  <c r="I9" i="27"/>
  <c r="J8" i="27"/>
  <c r="I8" i="27"/>
  <c r="J7" i="27"/>
  <c r="I7" i="27"/>
  <c r="J6" i="27"/>
  <c r="I6" i="27"/>
  <c r="J5" i="27"/>
  <c r="I5" i="27"/>
  <c r="J4" i="27"/>
  <c r="I4" i="27"/>
  <c r="J3" i="27"/>
  <c r="I3" i="27"/>
  <c r="D31" i="26"/>
  <c r="D32" i="4"/>
  <c r="D32" i="17"/>
  <c r="D32" i="18"/>
  <c r="D31" i="23"/>
  <c r="Q28" i="26"/>
  <c r="Q29" i="26" s="1"/>
  <c r="P28" i="26"/>
  <c r="P29" i="26" s="1"/>
  <c r="L28" i="26"/>
  <c r="L29" i="26" s="1"/>
  <c r="O28" i="26"/>
  <c r="O30" i="26" s="1"/>
  <c r="N28" i="26"/>
  <c r="N30" i="26" s="1"/>
  <c r="M28" i="26"/>
  <c r="M29" i="26" s="1"/>
  <c r="M30" i="26"/>
  <c r="K28" i="26"/>
  <c r="K30" i="26"/>
  <c r="J28" i="26"/>
  <c r="J30" i="26" s="1"/>
  <c r="I28" i="26"/>
  <c r="I30" i="26" s="1"/>
  <c r="H28" i="26"/>
  <c r="H30" i="26" s="1"/>
  <c r="G28" i="26"/>
  <c r="G29" i="26" s="1"/>
  <c r="F28" i="26"/>
  <c r="F30" i="26" s="1"/>
  <c r="E28" i="26"/>
  <c r="E30" i="26"/>
  <c r="D28" i="26"/>
  <c r="D29" i="26" s="1"/>
  <c r="I13" i="24"/>
  <c r="J13" i="24" s="1"/>
  <c r="I12" i="24"/>
  <c r="J12" i="24" s="1"/>
  <c r="I11" i="24"/>
  <c r="J11" i="24" s="1"/>
  <c r="I10" i="24"/>
  <c r="J10" i="24" s="1"/>
  <c r="I9" i="24"/>
  <c r="J9" i="24" s="1"/>
  <c r="I8" i="24"/>
  <c r="J8" i="24" s="1"/>
  <c r="I7" i="24"/>
  <c r="J7" i="24"/>
  <c r="I6" i="24"/>
  <c r="J6" i="24" s="1"/>
  <c r="I5" i="24"/>
  <c r="J5" i="24" s="1"/>
  <c r="I4" i="24"/>
  <c r="J4" i="24" s="1"/>
  <c r="I3" i="24"/>
  <c r="Q28" i="23"/>
  <c r="Q29" i="23" s="1"/>
  <c r="Q30" i="23"/>
  <c r="R28" i="23"/>
  <c r="R29" i="23" s="1"/>
  <c r="P28" i="23"/>
  <c r="P30" i="23" s="1"/>
  <c r="O28" i="23"/>
  <c r="O30" i="23"/>
  <c r="N28" i="23"/>
  <c r="N30" i="23"/>
  <c r="M28" i="23"/>
  <c r="M30" i="23" s="1"/>
  <c r="L28" i="23"/>
  <c r="L30" i="23" s="1"/>
  <c r="K28" i="23"/>
  <c r="K30" i="23" s="1"/>
  <c r="J28" i="23"/>
  <c r="J29" i="23" s="1"/>
  <c r="I28" i="23"/>
  <c r="I30" i="23" s="1"/>
  <c r="H28" i="23"/>
  <c r="H30" i="23" s="1"/>
  <c r="G28" i="23"/>
  <c r="G29" i="23" s="1"/>
  <c r="F28" i="23"/>
  <c r="F30" i="23"/>
  <c r="E28" i="23"/>
  <c r="E30" i="23" s="1"/>
  <c r="D28" i="23"/>
  <c r="D30" i="23" s="1"/>
  <c r="I4" i="19"/>
  <c r="J4" i="19" s="1"/>
  <c r="I3" i="19"/>
  <c r="I13" i="19"/>
  <c r="J13" i="19" s="1"/>
  <c r="I12" i="19"/>
  <c r="J12" i="19" s="1"/>
  <c r="I11" i="19"/>
  <c r="J11" i="19" s="1"/>
  <c r="I10" i="19"/>
  <c r="J10" i="19"/>
  <c r="I9" i="19"/>
  <c r="J9" i="19" s="1"/>
  <c r="I8" i="19"/>
  <c r="J8" i="19" s="1"/>
  <c r="I7" i="19"/>
  <c r="J7" i="19" s="1"/>
  <c r="I6" i="19"/>
  <c r="J6" i="19" s="1"/>
  <c r="I5" i="19"/>
  <c r="J5" i="19" s="1"/>
  <c r="E29" i="18"/>
  <c r="E31" i="18" s="1"/>
  <c r="F29" i="18"/>
  <c r="F31" i="18" s="1"/>
  <c r="G29" i="18"/>
  <c r="G30" i="18" s="1"/>
  <c r="H29" i="18"/>
  <c r="H31" i="18" s="1"/>
  <c r="I29" i="18"/>
  <c r="I31" i="18" s="1"/>
  <c r="J29" i="18"/>
  <c r="J31" i="18"/>
  <c r="K29" i="18"/>
  <c r="K30" i="18" s="1"/>
  <c r="L29" i="18"/>
  <c r="L31" i="18" s="1"/>
  <c r="M29" i="18"/>
  <c r="M31" i="18" s="1"/>
  <c r="N29" i="18"/>
  <c r="N31" i="18" s="1"/>
  <c r="O29" i="18"/>
  <c r="O31" i="18"/>
  <c r="P29" i="18"/>
  <c r="P31" i="18" s="1"/>
  <c r="Q29" i="18"/>
  <c r="Q31" i="18" s="1"/>
  <c r="R29" i="18"/>
  <c r="R31" i="18" s="1"/>
  <c r="S29" i="18"/>
  <c r="S30" i="18" s="1"/>
  <c r="D29" i="18"/>
  <c r="D31" i="18" s="1"/>
  <c r="V31" i="14"/>
  <c r="U6" i="15"/>
  <c r="V6" i="15"/>
  <c r="W6" i="15"/>
  <c r="X6" i="15"/>
  <c r="Y6" i="15"/>
  <c r="Z6" i="15"/>
  <c r="AA6" i="15"/>
  <c r="AB6" i="15"/>
  <c r="AC6" i="15"/>
  <c r="AD6" i="15"/>
  <c r="AE6" i="15"/>
  <c r="AF6" i="15"/>
  <c r="U7" i="15"/>
  <c r="V7" i="15"/>
  <c r="W7" i="15"/>
  <c r="X7" i="15"/>
  <c r="Y7" i="15"/>
  <c r="Z7" i="15"/>
  <c r="AA7" i="15"/>
  <c r="AB7" i="15"/>
  <c r="AC7" i="15"/>
  <c r="AD7" i="15"/>
  <c r="AE7" i="15"/>
  <c r="AF7" i="15"/>
  <c r="U8" i="15"/>
  <c r="V8" i="15"/>
  <c r="W8" i="15"/>
  <c r="X8" i="15"/>
  <c r="Y8" i="15"/>
  <c r="Z8" i="15"/>
  <c r="AA8" i="15"/>
  <c r="AB8" i="15"/>
  <c r="AC8" i="15"/>
  <c r="AD8" i="15"/>
  <c r="AE8" i="15"/>
  <c r="AF8" i="15"/>
  <c r="U9" i="15"/>
  <c r="V9" i="15"/>
  <c r="W9" i="15"/>
  <c r="X9" i="15"/>
  <c r="Y9" i="15"/>
  <c r="Z9" i="15"/>
  <c r="AA9" i="15"/>
  <c r="AB9" i="15"/>
  <c r="AC9" i="15"/>
  <c r="AD9" i="15"/>
  <c r="AE9" i="15"/>
  <c r="AF9" i="15"/>
  <c r="U10" i="15"/>
  <c r="V10" i="15"/>
  <c r="W10" i="15"/>
  <c r="X10" i="15"/>
  <c r="Y10" i="15"/>
  <c r="Z10" i="15"/>
  <c r="AA10" i="15"/>
  <c r="AB10" i="15"/>
  <c r="AC10" i="15"/>
  <c r="AD10" i="15"/>
  <c r="AE10" i="15"/>
  <c r="AF10" i="15"/>
  <c r="U11" i="15"/>
  <c r="V11" i="15"/>
  <c r="W11" i="15"/>
  <c r="X11" i="15"/>
  <c r="Y11" i="15"/>
  <c r="Z11" i="15"/>
  <c r="AA11" i="15"/>
  <c r="AB11" i="15"/>
  <c r="AC11" i="15"/>
  <c r="AD11" i="15"/>
  <c r="AE11" i="15"/>
  <c r="AF11" i="15"/>
  <c r="U12" i="15"/>
  <c r="V12" i="15"/>
  <c r="W12" i="15"/>
  <c r="X12" i="15"/>
  <c r="Y12" i="15"/>
  <c r="Z12" i="15"/>
  <c r="AA12" i="15"/>
  <c r="AB12" i="15"/>
  <c r="AC12" i="15"/>
  <c r="AD12" i="15"/>
  <c r="AE12" i="15"/>
  <c r="AF12" i="15"/>
  <c r="U13" i="15"/>
  <c r="V13" i="15"/>
  <c r="W13" i="15"/>
  <c r="X13" i="15"/>
  <c r="Y13" i="15"/>
  <c r="Z13" i="15"/>
  <c r="AA13" i="15"/>
  <c r="AB13" i="15"/>
  <c r="AC13" i="15"/>
  <c r="AD13" i="15"/>
  <c r="AE13" i="15"/>
  <c r="AF13" i="15"/>
  <c r="U14" i="15"/>
  <c r="V14" i="15"/>
  <c r="W14" i="15"/>
  <c r="X14" i="15"/>
  <c r="Y14" i="15"/>
  <c r="Z14" i="15"/>
  <c r="AA14" i="15"/>
  <c r="AB14" i="15"/>
  <c r="AC14" i="15"/>
  <c r="AD14" i="15"/>
  <c r="AE14" i="15"/>
  <c r="AF14" i="15"/>
  <c r="U15" i="15"/>
  <c r="V15" i="15"/>
  <c r="W15" i="15"/>
  <c r="X15" i="15"/>
  <c r="Y15" i="15"/>
  <c r="Z15" i="15"/>
  <c r="AA15" i="15"/>
  <c r="AB15" i="15"/>
  <c r="AC15" i="15"/>
  <c r="AD15" i="15"/>
  <c r="AE15" i="15"/>
  <c r="AF15" i="15"/>
  <c r="U16" i="15"/>
  <c r="V16" i="15"/>
  <c r="W16" i="15"/>
  <c r="X16" i="15"/>
  <c r="Y16" i="15"/>
  <c r="Z16" i="15"/>
  <c r="AA16" i="15"/>
  <c r="AB16" i="15"/>
  <c r="AC16" i="15"/>
  <c r="AD16" i="15"/>
  <c r="AE16" i="15"/>
  <c r="AF16" i="15"/>
  <c r="U17" i="15"/>
  <c r="V17" i="15"/>
  <c r="W17" i="15"/>
  <c r="X17" i="15"/>
  <c r="Y17" i="15"/>
  <c r="Z17" i="15"/>
  <c r="AA17" i="15"/>
  <c r="AB17" i="15"/>
  <c r="AC17" i="15"/>
  <c r="AD17" i="15"/>
  <c r="AE17" i="15"/>
  <c r="AF17" i="15"/>
  <c r="U18" i="15"/>
  <c r="V18" i="15"/>
  <c r="W18" i="15"/>
  <c r="X18" i="15"/>
  <c r="Y18" i="15"/>
  <c r="Z18" i="15"/>
  <c r="AA18" i="15"/>
  <c r="AB18" i="15"/>
  <c r="AC18" i="15"/>
  <c r="AD18" i="15"/>
  <c r="AE18" i="15"/>
  <c r="AF18" i="15"/>
  <c r="U19" i="15"/>
  <c r="V19" i="15"/>
  <c r="W19" i="15"/>
  <c r="X19" i="15"/>
  <c r="Y19" i="15"/>
  <c r="Z19" i="15"/>
  <c r="AA19" i="15"/>
  <c r="AB19" i="15"/>
  <c r="AC19" i="15"/>
  <c r="AD19" i="15"/>
  <c r="AE19" i="15"/>
  <c r="AF19" i="15"/>
  <c r="U20" i="15"/>
  <c r="V20" i="15"/>
  <c r="W20" i="15"/>
  <c r="X20" i="15"/>
  <c r="Y20" i="15"/>
  <c r="Z20" i="15"/>
  <c r="AA20" i="15"/>
  <c r="AB20" i="15"/>
  <c r="AC20" i="15"/>
  <c r="AD20" i="15"/>
  <c r="AE20" i="15"/>
  <c r="AF20" i="15"/>
  <c r="U21" i="15"/>
  <c r="V21" i="15"/>
  <c r="W21" i="15"/>
  <c r="X21" i="15"/>
  <c r="Y21" i="15"/>
  <c r="Z21" i="15"/>
  <c r="AA21" i="15"/>
  <c r="AB21" i="15"/>
  <c r="AC21" i="15"/>
  <c r="AD21" i="15"/>
  <c r="AE21" i="15"/>
  <c r="AF21" i="15"/>
  <c r="U22" i="15"/>
  <c r="V22" i="15"/>
  <c r="W22" i="15"/>
  <c r="X22" i="15"/>
  <c r="Y22" i="15"/>
  <c r="Z22" i="15"/>
  <c r="AA22" i="15"/>
  <c r="AB22" i="15"/>
  <c r="AC22" i="15"/>
  <c r="AD22" i="15"/>
  <c r="AE22" i="15"/>
  <c r="AF22" i="15"/>
  <c r="U23" i="15"/>
  <c r="V23" i="15"/>
  <c r="W23" i="15"/>
  <c r="X23" i="15"/>
  <c r="Y23" i="15"/>
  <c r="Z23" i="15"/>
  <c r="AA23" i="15"/>
  <c r="AB23" i="15"/>
  <c r="AC23" i="15"/>
  <c r="AD23" i="15"/>
  <c r="AE23" i="15"/>
  <c r="AF23" i="15"/>
  <c r="U24" i="15"/>
  <c r="V24" i="15"/>
  <c r="W24" i="15"/>
  <c r="X24" i="15"/>
  <c r="Y24" i="15"/>
  <c r="Z24" i="15"/>
  <c r="AA24" i="15"/>
  <c r="AB24" i="15"/>
  <c r="AC24" i="15"/>
  <c r="AD24" i="15"/>
  <c r="AE24" i="15"/>
  <c r="AF24" i="15"/>
  <c r="U25" i="15"/>
  <c r="V25" i="15"/>
  <c r="W25" i="15"/>
  <c r="X25" i="15"/>
  <c r="Y25" i="15"/>
  <c r="Z25" i="15"/>
  <c r="AA25" i="15"/>
  <c r="AB25" i="15"/>
  <c r="AC25" i="15"/>
  <c r="AD25" i="15"/>
  <c r="AE25" i="15"/>
  <c r="AF25" i="15"/>
  <c r="U26" i="15"/>
  <c r="V26" i="15"/>
  <c r="W26" i="15"/>
  <c r="X26" i="15"/>
  <c r="Y26" i="15"/>
  <c r="Z26" i="15"/>
  <c r="AA26" i="15"/>
  <c r="AB26" i="15"/>
  <c r="AC26" i="15"/>
  <c r="AD26" i="15"/>
  <c r="AE26" i="15"/>
  <c r="AF26" i="15"/>
  <c r="U27" i="15"/>
  <c r="V27" i="15"/>
  <c r="W27" i="15"/>
  <c r="X27" i="15"/>
  <c r="Y27" i="15"/>
  <c r="Z27" i="15"/>
  <c r="AA27" i="15"/>
  <c r="AB27" i="15"/>
  <c r="AC27" i="15"/>
  <c r="AD27" i="15"/>
  <c r="AE27" i="15"/>
  <c r="AF27" i="15"/>
  <c r="U28" i="15"/>
  <c r="V28" i="15"/>
  <c r="W28" i="15"/>
  <c r="X28" i="15"/>
  <c r="Y28" i="15"/>
  <c r="Z28" i="15"/>
  <c r="AA28" i="15"/>
  <c r="AB28" i="15"/>
  <c r="AC28" i="15"/>
  <c r="AD28" i="15"/>
  <c r="AE28" i="15"/>
  <c r="AF28" i="15"/>
  <c r="U29" i="15"/>
  <c r="V29" i="15"/>
  <c r="W29" i="15"/>
  <c r="X29" i="15"/>
  <c r="Y29" i="15"/>
  <c r="Z29" i="15"/>
  <c r="AA29" i="15"/>
  <c r="AB29" i="15"/>
  <c r="AC29" i="15"/>
  <c r="AD29" i="15"/>
  <c r="AE29" i="15"/>
  <c r="AF29" i="15"/>
  <c r="V5" i="15"/>
  <c r="V30" i="15" s="1"/>
  <c r="W5" i="15"/>
  <c r="X5" i="15"/>
  <c r="Y5" i="15"/>
  <c r="Z5" i="15"/>
  <c r="AA5" i="15"/>
  <c r="AB5" i="15"/>
  <c r="AB30" i="15"/>
  <c r="AB31" i="15" s="1"/>
  <c r="AC5" i="15"/>
  <c r="AC30" i="15" s="1"/>
  <c r="AD5" i="15"/>
  <c r="AD30" i="15" s="1"/>
  <c r="AE5" i="15"/>
  <c r="AF5" i="15"/>
  <c r="U5" i="15"/>
  <c r="V5" i="14"/>
  <c r="W5" i="14"/>
  <c r="X5" i="14"/>
  <c r="Y5" i="14"/>
  <c r="Z5" i="14"/>
  <c r="AA5" i="14"/>
  <c r="AB5" i="14"/>
  <c r="AC5" i="14"/>
  <c r="AD5" i="14"/>
  <c r="AE5" i="14"/>
  <c r="AF5" i="14"/>
  <c r="V6" i="14"/>
  <c r="W6" i="14"/>
  <c r="X6" i="14"/>
  <c r="Y6" i="14"/>
  <c r="Z6" i="14"/>
  <c r="AA6" i="14"/>
  <c r="AB6" i="14"/>
  <c r="AC6" i="14"/>
  <c r="AD6" i="14"/>
  <c r="AE6" i="14"/>
  <c r="AF6" i="14"/>
  <c r="V7" i="14"/>
  <c r="W7" i="14"/>
  <c r="X7" i="14"/>
  <c r="Y7" i="14"/>
  <c r="Z7" i="14"/>
  <c r="AA7" i="14"/>
  <c r="AB7" i="14"/>
  <c r="AC7" i="14"/>
  <c r="AD7" i="14"/>
  <c r="AE7" i="14"/>
  <c r="AF7" i="14"/>
  <c r="V8" i="14"/>
  <c r="W8" i="14"/>
  <c r="X8" i="14"/>
  <c r="Y8" i="14"/>
  <c r="Z8" i="14"/>
  <c r="AA8" i="14"/>
  <c r="AB8" i="14"/>
  <c r="AC8" i="14"/>
  <c r="AD8" i="14"/>
  <c r="AE8" i="14"/>
  <c r="AF8" i="14"/>
  <c r="U9" i="14"/>
  <c r="V9" i="14"/>
  <c r="W9" i="14"/>
  <c r="X9" i="14"/>
  <c r="Y9" i="14"/>
  <c r="Z9" i="14"/>
  <c r="AA9" i="14"/>
  <c r="AB9" i="14"/>
  <c r="AC9" i="14"/>
  <c r="AD9" i="14"/>
  <c r="AE9" i="14"/>
  <c r="AF9" i="14"/>
  <c r="U10" i="14"/>
  <c r="V10" i="14"/>
  <c r="W10" i="14"/>
  <c r="X10" i="14"/>
  <c r="Y10" i="14"/>
  <c r="Z10" i="14"/>
  <c r="AA10" i="14"/>
  <c r="AB10" i="14"/>
  <c r="AC10" i="14"/>
  <c r="AD10" i="14"/>
  <c r="AE10" i="14"/>
  <c r="AF10" i="14"/>
  <c r="U11" i="14"/>
  <c r="V11" i="14"/>
  <c r="W11" i="14"/>
  <c r="X11" i="14"/>
  <c r="Y11" i="14"/>
  <c r="Z11" i="14"/>
  <c r="AA11" i="14"/>
  <c r="AB11" i="14"/>
  <c r="AC11" i="14"/>
  <c r="AD11" i="14"/>
  <c r="AE11" i="14"/>
  <c r="AF11" i="14"/>
  <c r="U12" i="14"/>
  <c r="V12" i="14"/>
  <c r="W12" i="14"/>
  <c r="X12" i="14"/>
  <c r="Y12" i="14"/>
  <c r="Z12" i="14"/>
  <c r="AA12" i="14"/>
  <c r="AB12" i="14"/>
  <c r="AC12" i="14"/>
  <c r="AD12" i="14"/>
  <c r="AE12" i="14"/>
  <c r="AF12" i="14"/>
  <c r="U13" i="14"/>
  <c r="V13" i="14"/>
  <c r="W13" i="14"/>
  <c r="X13" i="14"/>
  <c r="Y13" i="14"/>
  <c r="Z13" i="14"/>
  <c r="AA13" i="14"/>
  <c r="AB13" i="14"/>
  <c r="AC13" i="14"/>
  <c r="AD13" i="14"/>
  <c r="AE13" i="14"/>
  <c r="AF13" i="14"/>
  <c r="U14" i="14"/>
  <c r="V14" i="14"/>
  <c r="W14" i="14"/>
  <c r="X14" i="14"/>
  <c r="Y14" i="14"/>
  <c r="Z14" i="14"/>
  <c r="AA14" i="14"/>
  <c r="AB14" i="14"/>
  <c r="AC14" i="14"/>
  <c r="AD14" i="14"/>
  <c r="AE14" i="14"/>
  <c r="AF14" i="14"/>
  <c r="U15" i="14"/>
  <c r="V15" i="14"/>
  <c r="W15" i="14"/>
  <c r="X15" i="14"/>
  <c r="Y15" i="14"/>
  <c r="Z15" i="14"/>
  <c r="AA15" i="14"/>
  <c r="AB15" i="14"/>
  <c r="AC15" i="14"/>
  <c r="AD15" i="14"/>
  <c r="AE15" i="14"/>
  <c r="AF15" i="14"/>
  <c r="U16" i="14"/>
  <c r="V16" i="14"/>
  <c r="W16" i="14"/>
  <c r="X16" i="14"/>
  <c r="Y16" i="14"/>
  <c r="Z16" i="14"/>
  <c r="AA16" i="14"/>
  <c r="AB16" i="14"/>
  <c r="AC16" i="14"/>
  <c r="AD16" i="14"/>
  <c r="AE16" i="14"/>
  <c r="AF16" i="14"/>
  <c r="U17" i="14"/>
  <c r="V17" i="14"/>
  <c r="W17" i="14"/>
  <c r="X17" i="14"/>
  <c r="Y17" i="14"/>
  <c r="Z17" i="14"/>
  <c r="AA17" i="14"/>
  <c r="AB17" i="14"/>
  <c r="AC17" i="14"/>
  <c r="AD17" i="14"/>
  <c r="AE17" i="14"/>
  <c r="AF17" i="14"/>
  <c r="U18" i="14"/>
  <c r="V18" i="14"/>
  <c r="W18" i="14"/>
  <c r="X18" i="14"/>
  <c r="Y18" i="14"/>
  <c r="Z18" i="14"/>
  <c r="AA18" i="14"/>
  <c r="AB18" i="14"/>
  <c r="AC18" i="14"/>
  <c r="AD18" i="14"/>
  <c r="AE18" i="14"/>
  <c r="AF18" i="14"/>
  <c r="U19" i="14"/>
  <c r="V19" i="14"/>
  <c r="W19" i="14"/>
  <c r="X19" i="14"/>
  <c r="Y19" i="14"/>
  <c r="Z19" i="14"/>
  <c r="AA19" i="14"/>
  <c r="AB19" i="14"/>
  <c r="AC19" i="14"/>
  <c r="AD19" i="14"/>
  <c r="AE19" i="14"/>
  <c r="AF19" i="14"/>
  <c r="U20" i="14"/>
  <c r="V20" i="14"/>
  <c r="W20" i="14"/>
  <c r="X20" i="14"/>
  <c r="Y20" i="14"/>
  <c r="Z20" i="14"/>
  <c r="AA20" i="14"/>
  <c r="AB20" i="14"/>
  <c r="AC20" i="14"/>
  <c r="AD20" i="14"/>
  <c r="AE20" i="14"/>
  <c r="AF20" i="14"/>
  <c r="U21" i="14"/>
  <c r="V21" i="14"/>
  <c r="W21" i="14"/>
  <c r="X21" i="14"/>
  <c r="Y21" i="14"/>
  <c r="Z21" i="14"/>
  <c r="AA21" i="14"/>
  <c r="AB21" i="14"/>
  <c r="AC21" i="14"/>
  <c r="AD21" i="14"/>
  <c r="AE21" i="14"/>
  <c r="AF21" i="14"/>
  <c r="U22" i="14"/>
  <c r="V22" i="14"/>
  <c r="W22" i="14"/>
  <c r="X22" i="14"/>
  <c r="Y22" i="14"/>
  <c r="Z22" i="14"/>
  <c r="AA22" i="14"/>
  <c r="AB22" i="14"/>
  <c r="AC22" i="14"/>
  <c r="AD22" i="14"/>
  <c r="AE22" i="14"/>
  <c r="AF22" i="14"/>
  <c r="U23" i="14"/>
  <c r="V23" i="14"/>
  <c r="W23" i="14"/>
  <c r="X23" i="14"/>
  <c r="Y23" i="14"/>
  <c r="Z23" i="14"/>
  <c r="AA23" i="14"/>
  <c r="AB23" i="14"/>
  <c r="AC23" i="14"/>
  <c r="AD23" i="14"/>
  <c r="AE23" i="14"/>
  <c r="AF23" i="14"/>
  <c r="U24" i="14"/>
  <c r="V24" i="14"/>
  <c r="W24" i="14"/>
  <c r="X24" i="14"/>
  <c r="Y24" i="14"/>
  <c r="Z24" i="14"/>
  <c r="AA24" i="14"/>
  <c r="AB24" i="14"/>
  <c r="AC24" i="14"/>
  <c r="AD24" i="14"/>
  <c r="AE24" i="14"/>
  <c r="AF24" i="14"/>
  <c r="U25" i="14"/>
  <c r="V25" i="14"/>
  <c r="W25" i="14"/>
  <c r="X25" i="14"/>
  <c r="Y25" i="14"/>
  <c r="Z25" i="14"/>
  <c r="AA25" i="14"/>
  <c r="AB25" i="14"/>
  <c r="AC25" i="14"/>
  <c r="AD25" i="14"/>
  <c r="AE25" i="14"/>
  <c r="AF25" i="14"/>
  <c r="U26" i="14"/>
  <c r="V26" i="14"/>
  <c r="W26" i="14"/>
  <c r="X26" i="14"/>
  <c r="Y26" i="14"/>
  <c r="Z26" i="14"/>
  <c r="AA26" i="14"/>
  <c r="AB26" i="14"/>
  <c r="AC26" i="14"/>
  <c r="AD26" i="14"/>
  <c r="AE26" i="14"/>
  <c r="AF26" i="14"/>
  <c r="U27" i="14"/>
  <c r="V27" i="14"/>
  <c r="W27" i="14"/>
  <c r="X27" i="14"/>
  <c r="Y27" i="14"/>
  <c r="Z27" i="14"/>
  <c r="AA27" i="14"/>
  <c r="AB27" i="14"/>
  <c r="AC27" i="14"/>
  <c r="AD27" i="14"/>
  <c r="AE27" i="14"/>
  <c r="AF27" i="14"/>
  <c r="U28" i="14"/>
  <c r="V28" i="14"/>
  <c r="W28" i="14"/>
  <c r="X28" i="14"/>
  <c r="Y28" i="14"/>
  <c r="Z28" i="14"/>
  <c r="AA28" i="14"/>
  <c r="AB28" i="14"/>
  <c r="AC28" i="14"/>
  <c r="AD28" i="14"/>
  <c r="AE28" i="14"/>
  <c r="AF28" i="14"/>
  <c r="W4" i="14"/>
  <c r="X4" i="14"/>
  <c r="Y4" i="14"/>
  <c r="Z4" i="14"/>
  <c r="AA4" i="14"/>
  <c r="AB4" i="14"/>
  <c r="AC4" i="14"/>
  <c r="AD4" i="14"/>
  <c r="AE4" i="14"/>
  <c r="AF4" i="14"/>
  <c r="U21" i="13"/>
  <c r="V21" i="13"/>
  <c r="W21" i="13"/>
  <c r="X21" i="13"/>
  <c r="Y21" i="13"/>
  <c r="Z21" i="13"/>
  <c r="AA21" i="13"/>
  <c r="AB21" i="13"/>
  <c r="AC21" i="13"/>
  <c r="AD21" i="13"/>
  <c r="AE21" i="13"/>
  <c r="AF21" i="13"/>
  <c r="U22" i="13"/>
  <c r="V22" i="13"/>
  <c r="W22" i="13"/>
  <c r="X22" i="13"/>
  <c r="Y22" i="13"/>
  <c r="Z22" i="13"/>
  <c r="AA22" i="13"/>
  <c r="AB22" i="13"/>
  <c r="AC22" i="13"/>
  <c r="AD22" i="13"/>
  <c r="AE22" i="13"/>
  <c r="AF22" i="13"/>
  <c r="U23" i="13"/>
  <c r="V23" i="13"/>
  <c r="W23" i="13"/>
  <c r="X23" i="13"/>
  <c r="Y23" i="13"/>
  <c r="Z23" i="13"/>
  <c r="AA23" i="13"/>
  <c r="AB23" i="13"/>
  <c r="AC23" i="13"/>
  <c r="AD23" i="13"/>
  <c r="AE23" i="13"/>
  <c r="AF23" i="13"/>
  <c r="U24" i="13"/>
  <c r="V24" i="13"/>
  <c r="W24" i="13"/>
  <c r="X24" i="13"/>
  <c r="Y24" i="13"/>
  <c r="Z24" i="13"/>
  <c r="AA24" i="13"/>
  <c r="AB24" i="13"/>
  <c r="AC24" i="13"/>
  <c r="AD24" i="13"/>
  <c r="AE24" i="13"/>
  <c r="AF24" i="13"/>
  <c r="U25" i="13"/>
  <c r="V25" i="13"/>
  <c r="W25" i="13"/>
  <c r="X25" i="13"/>
  <c r="Y25" i="13"/>
  <c r="Z25" i="13"/>
  <c r="AA25" i="13"/>
  <c r="AB25" i="13"/>
  <c r="AC25" i="13"/>
  <c r="AD25" i="13"/>
  <c r="AE25" i="13"/>
  <c r="AF25" i="13"/>
  <c r="U26" i="13"/>
  <c r="V26" i="13"/>
  <c r="W26" i="13"/>
  <c r="X26" i="13"/>
  <c r="Y26" i="13"/>
  <c r="Z26" i="13"/>
  <c r="AA26" i="13"/>
  <c r="AB26" i="13"/>
  <c r="AC26" i="13"/>
  <c r="AD26" i="13"/>
  <c r="AE26" i="13"/>
  <c r="AF26" i="13"/>
  <c r="U27" i="13"/>
  <c r="V27" i="13"/>
  <c r="W27" i="13"/>
  <c r="X27" i="13"/>
  <c r="Y27" i="13"/>
  <c r="Z27" i="13"/>
  <c r="AA27" i="13"/>
  <c r="AB27" i="13"/>
  <c r="AC27" i="13"/>
  <c r="AD27" i="13"/>
  <c r="AE27" i="13"/>
  <c r="AF27" i="13"/>
  <c r="U28" i="13"/>
  <c r="V28" i="13"/>
  <c r="W28" i="13"/>
  <c r="X28" i="13"/>
  <c r="Y28" i="13"/>
  <c r="Z28" i="13"/>
  <c r="AA28" i="13"/>
  <c r="AB28" i="13"/>
  <c r="AC28" i="13"/>
  <c r="AD28" i="13"/>
  <c r="AE28" i="13"/>
  <c r="AF28" i="13"/>
  <c r="U5" i="13"/>
  <c r="V5" i="13"/>
  <c r="W5" i="13"/>
  <c r="X5" i="13"/>
  <c r="Y5" i="13"/>
  <c r="Z5" i="13"/>
  <c r="AA5" i="13"/>
  <c r="AB5" i="13"/>
  <c r="AC5" i="13"/>
  <c r="AD5" i="13"/>
  <c r="AE5" i="13"/>
  <c r="AF5" i="13"/>
  <c r="U6" i="13"/>
  <c r="V6" i="13"/>
  <c r="W6" i="13"/>
  <c r="X6" i="13"/>
  <c r="Y6" i="13"/>
  <c r="Z6" i="13"/>
  <c r="AA6" i="13"/>
  <c r="AB6" i="13"/>
  <c r="AC6" i="13"/>
  <c r="AD6" i="13"/>
  <c r="AE6" i="13"/>
  <c r="AF6" i="13"/>
  <c r="U7" i="13"/>
  <c r="V7" i="13"/>
  <c r="W7" i="13"/>
  <c r="X7" i="13"/>
  <c r="Y7" i="13"/>
  <c r="Z7" i="13"/>
  <c r="AA7" i="13"/>
  <c r="AB7" i="13"/>
  <c r="AC7" i="13"/>
  <c r="AD7" i="13"/>
  <c r="AE7" i="13"/>
  <c r="AF7" i="13"/>
  <c r="U8" i="13"/>
  <c r="V8" i="13"/>
  <c r="W8" i="13"/>
  <c r="X8" i="13"/>
  <c r="Y8" i="13"/>
  <c r="Z8" i="13"/>
  <c r="AA8" i="13"/>
  <c r="AB8" i="13"/>
  <c r="AC8" i="13"/>
  <c r="AD8" i="13"/>
  <c r="AE8" i="13"/>
  <c r="AF8" i="13"/>
  <c r="U9" i="13"/>
  <c r="V9" i="13"/>
  <c r="W9" i="13"/>
  <c r="X9" i="13"/>
  <c r="Y9" i="13"/>
  <c r="Z9" i="13"/>
  <c r="AA9" i="13"/>
  <c r="AB9" i="13"/>
  <c r="AC9" i="13"/>
  <c r="AD9" i="13"/>
  <c r="AE9" i="13"/>
  <c r="AF9" i="13"/>
  <c r="U10" i="13"/>
  <c r="V10" i="13"/>
  <c r="W10" i="13"/>
  <c r="X10" i="13"/>
  <c r="Y10" i="13"/>
  <c r="Z10" i="13"/>
  <c r="AA10" i="13"/>
  <c r="AB10" i="13"/>
  <c r="AC10" i="13"/>
  <c r="AD10" i="13"/>
  <c r="AE10" i="13"/>
  <c r="AF10" i="13"/>
  <c r="U11" i="13"/>
  <c r="V11" i="13"/>
  <c r="W11" i="13"/>
  <c r="X11" i="13"/>
  <c r="Y11" i="13"/>
  <c r="Z11" i="13"/>
  <c r="AA11" i="13"/>
  <c r="AB11" i="13"/>
  <c r="AC11" i="13"/>
  <c r="AD11" i="13"/>
  <c r="AE11" i="13"/>
  <c r="AF11" i="13"/>
  <c r="U12" i="13"/>
  <c r="V12" i="13"/>
  <c r="W12" i="13"/>
  <c r="X12" i="13"/>
  <c r="Y12" i="13"/>
  <c r="Z12" i="13"/>
  <c r="AA12" i="13"/>
  <c r="AB12" i="13"/>
  <c r="AC12" i="13"/>
  <c r="AD12" i="13"/>
  <c r="AE12" i="13"/>
  <c r="AF12" i="13"/>
  <c r="U13" i="13"/>
  <c r="V13" i="13"/>
  <c r="W13" i="13"/>
  <c r="X13" i="13"/>
  <c r="Y13" i="13"/>
  <c r="Z13" i="13"/>
  <c r="AA13" i="13"/>
  <c r="AB13" i="13"/>
  <c r="AC13" i="13"/>
  <c r="AD13" i="13"/>
  <c r="AE13" i="13"/>
  <c r="AF13" i="13"/>
  <c r="U14" i="13"/>
  <c r="V14" i="13"/>
  <c r="W14" i="13"/>
  <c r="X14" i="13"/>
  <c r="Y14" i="13"/>
  <c r="Z14" i="13"/>
  <c r="AA14" i="13"/>
  <c r="AB14" i="13"/>
  <c r="AC14" i="13"/>
  <c r="AD14" i="13"/>
  <c r="AE14" i="13"/>
  <c r="AF14" i="13"/>
  <c r="U15" i="13"/>
  <c r="V15" i="13"/>
  <c r="W15" i="13"/>
  <c r="X15" i="13"/>
  <c r="Y15" i="13"/>
  <c r="Z15" i="13"/>
  <c r="AA15" i="13"/>
  <c r="AB15" i="13"/>
  <c r="AC15" i="13"/>
  <c r="AD15" i="13"/>
  <c r="AE15" i="13"/>
  <c r="AF15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U18" i="13"/>
  <c r="V18" i="13"/>
  <c r="W18" i="13"/>
  <c r="X18" i="13"/>
  <c r="Y18" i="13"/>
  <c r="Z18" i="13"/>
  <c r="AA18" i="13"/>
  <c r="AB18" i="13"/>
  <c r="AC18" i="13"/>
  <c r="AD18" i="13"/>
  <c r="AE18" i="13"/>
  <c r="AF18" i="13"/>
  <c r="U19" i="13"/>
  <c r="V19" i="13"/>
  <c r="W19" i="13"/>
  <c r="X19" i="13"/>
  <c r="Y19" i="13"/>
  <c r="Z19" i="13"/>
  <c r="AA19" i="13"/>
  <c r="AB19" i="13"/>
  <c r="AC19" i="13"/>
  <c r="AD19" i="13"/>
  <c r="AE19" i="13"/>
  <c r="AF19" i="13"/>
  <c r="U20" i="13"/>
  <c r="V20" i="13"/>
  <c r="W20" i="13"/>
  <c r="X20" i="13"/>
  <c r="Y20" i="13"/>
  <c r="Z20" i="13"/>
  <c r="AA20" i="13"/>
  <c r="AB20" i="13"/>
  <c r="AC20" i="13"/>
  <c r="AD20" i="13"/>
  <c r="AE20" i="13"/>
  <c r="AF20" i="13"/>
  <c r="V4" i="13"/>
  <c r="W4" i="13"/>
  <c r="X4" i="13"/>
  <c r="Y4" i="13"/>
  <c r="Z4" i="13"/>
  <c r="AA4" i="13"/>
  <c r="AB4" i="13"/>
  <c r="AC4" i="13"/>
  <c r="AD4" i="13"/>
  <c r="AE4" i="13"/>
  <c r="AF4" i="13"/>
  <c r="D4" i="13"/>
  <c r="U4" i="13"/>
  <c r="F3" i="12"/>
  <c r="C3" i="12"/>
  <c r="O31" i="17"/>
  <c r="M31" i="17"/>
  <c r="K31" i="17"/>
  <c r="G31" i="17"/>
  <c r="F31" i="17"/>
  <c r="E31" i="17"/>
  <c r="D31" i="17"/>
  <c r="I30" i="15"/>
  <c r="L30" i="15"/>
  <c r="M30" i="15"/>
  <c r="N30" i="15"/>
  <c r="O30" i="15"/>
  <c r="K31" i="13"/>
  <c r="G31" i="13"/>
  <c r="F31" i="13"/>
  <c r="E31" i="13"/>
  <c r="D31" i="13"/>
  <c r="E29" i="13"/>
  <c r="E30" i="13" s="1"/>
  <c r="H3" i="12" s="1"/>
  <c r="F29" i="13"/>
  <c r="F30" i="13" s="1"/>
  <c r="H4" i="12" s="1"/>
  <c r="G29" i="13"/>
  <c r="G30" i="13" s="1"/>
  <c r="K29" i="13"/>
  <c r="K30" i="13" s="1"/>
  <c r="D29" i="13"/>
  <c r="D30" i="13" s="1"/>
  <c r="H2" i="12" s="1"/>
  <c r="K31" i="14"/>
  <c r="J31" i="14"/>
  <c r="G31" i="14"/>
  <c r="F31" i="14"/>
  <c r="E31" i="14"/>
  <c r="F29" i="14"/>
  <c r="F30" i="14" s="1"/>
  <c r="G4" i="12" s="1"/>
  <c r="G29" i="14"/>
  <c r="G30" i="14" s="1"/>
  <c r="J29" i="14"/>
  <c r="J30" i="14" s="1"/>
  <c r="K29" i="14"/>
  <c r="K30" i="14" s="1"/>
  <c r="K32" i="15"/>
  <c r="J32" i="15"/>
  <c r="G32" i="15"/>
  <c r="F32" i="15"/>
  <c r="E30" i="15"/>
  <c r="F30" i="15"/>
  <c r="F31" i="15" s="1"/>
  <c r="F4" i="12" s="1"/>
  <c r="G30" i="15"/>
  <c r="G31" i="15" s="1"/>
  <c r="H30" i="15"/>
  <c r="J30" i="15"/>
  <c r="J31" i="15"/>
  <c r="K30" i="15"/>
  <c r="K31" i="15" s="1"/>
  <c r="D30" i="15"/>
  <c r="D32" i="15" s="1"/>
  <c r="S29" i="17"/>
  <c r="S30" i="17"/>
  <c r="R29" i="17"/>
  <c r="Q29" i="17"/>
  <c r="Q30" i="17" s="1"/>
  <c r="O29" i="17"/>
  <c r="O30" i="17" s="1"/>
  <c r="N29" i="17"/>
  <c r="N30" i="17" s="1"/>
  <c r="M29" i="17"/>
  <c r="M30" i="17"/>
  <c r="K29" i="17"/>
  <c r="K30" i="17" s="1"/>
  <c r="J29" i="17"/>
  <c r="J30" i="17" s="1"/>
  <c r="H29" i="17"/>
  <c r="H30" i="17" s="1"/>
  <c r="G29" i="17"/>
  <c r="G30" i="17" s="1"/>
  <c r="F29" i="17"/>
  <c r="F30" i="17" s="1"/>
  <c r="E29" i="17"/>
  <c r="E30" i="17" s="1"/>
  <c r="I3" i="12" s="1"/>
  <c r="D29" i="17"/>
  <c r="D30" i="17" s="1"/>
  <c r="I2" i="12" s="1"/>
  <c r="I6" i="11"/>
  <c r="J6" i="11" s="1"/>
  <c r="I7" i="11"/>
  <c r="J7" i="11" s="1"/>
  <c r="I8" i="11"/>
  <c r="J8" i="11" s="1"/>
  <c r="I9" i="11"/>
  <c r="I10" i="11"/>
  <c r="J10" i="11" s="1"/>
  <c r="I11" i="11"/>
  <c r="J11" i="11" s="1"/>
  <c r="I12" i="11"/>
  <c r="J12" i="11" s="1"/>
  <c r="I13" i="11"/>
  <c r="J13" i="11" s="1"/>
  <c r="I5" i="11"/>
  <c r="J5" i="11" s="1"/>
  <c r="J9" i="11"/>
  <c r="J3" i="11"/>
  <c r="D29" i="9"/>
  <c r="E29" i="9"/>
  <c r="F29" i="9"/>
  <c r="G29" i="9"/>
  <c r="H29" i="9"/>
  <c r="I29" i="9"/>
  <c r="J29" i="9"/>
  <c r="K29" i="9"/>
  <c r="L29" i="9"/>
  <c r="M29" i="9"/>
  <c r="N29" i="9"/>
  <c r="O29" i="9"/>
  <c r="D30" i="9"/>
  <c r="E2" i="12" s="1"/>
  <c r="E30" i="9"/>
  <c r="E3" i="12" s="1"/>
  <c r="F30" i="9"/>
  <c r="E4" i="12" s="1"/>
  <c r="G30" i="9"/>
  <c r="H30" i="9"/>
  <c r="I30" i="9"/>
  <c r="J30" i="9"/>
  <c r="K30" i="9"/>
  <c r="L30" i="9"/>
  <c r="M30" i="9"/>
  <c r="N30" i="9"/>
  <c r="M29" i="5"/>
  <c r="O29" i="5"/>
  <c r="P29" i="5"/>
  <c r="D29" i="5"/>
  <c r="E29" i="5"/>
  <c r="F29" i="5"/>
  <c r="G29" i="5"/>
  <c r="H29" i="5"/>
  <c r="I29" i="5"/>
  <c r="J29" i="5"/>
  <c r="K29" i="5"/>
  <c r="L29" i="5"/>
  <c r="N29" i="5"/>
  <c r="D30" i="5"/>
  <c r="D2" i="12" s="1"/>
  <c r="E30" i="5"/>
  <c r="D3" i="12"/>
  <c r="F30" i="5"/>
  <c r="D4" i="12" s="1"/>
  <c r="G30" i="5"/>
  <c r="H30" i="5"/>
  <c r="I30" i="5"/>
  <c r="J30" i="5"/>
  <c r="K30" i="5"/>
  <c r="L30" i="5"/>
  <c r="E30" i="4"/>
  <c r="B3" i="12" s="1"/>
  <c r="F30" i="4"/>
  <c r="B4" i="12" s="1"/>
  <c r="G30" i="4"/>
  <c r="H30" i="4"/>
  <c r="I30" i="4"/>
  <c r="J30" i="4"/>
  <c r="K30" i="4"/>
  <c r="L30" i="4"/>
  <c r="M30" i="4"/>
  <c r="N30" i="4"/>
  <c r="O30" i="4"/>
  <c r="P30" i="4"/>
  <c r="Q30" i="4"/>
  <c r="R30" i="4"/>
  <c r="D30" i="4"/>
  <c r="B2" i="12" s="1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D29" i="4"/>
  <c r="T29" i="1"/>
  <c r="S29" i="1"/>
  <c r="K30" i="1"/>
  <c r="M30" i="1"/>
  <c r="L30" i="1"/>
  <c r="K29" i="1"/>
  <c r="M29" i="1"/>
  <c r="L29" i="1"/>
  <c r="E30" i="1"/>
  <c r="D30" i="1"/>
  <c r="C2" i="12" s="1"/>
  <c r="F30" i="1"/>
  <c r="C4" i="12" s="1"/>
  <c r="H30" i="1"/>
  <c r="I30" i="1"/>
  <c r="J30" i="1"/>
  <c r="N30" i="1"/>
  <c r="O30" i="1"/>
  <c r="P30" i="1"/>
  <c r="Q30" i="1"/>
  <c r="R30" i="1"/>
  <c r="U30" i="1"/>
  <c r="G30" i="1"/>
  <c r="E29" i="1"/>
  <c r="D29" i="1"/>
  <c r="F29" i="1"/>
  <c r="H29" i="1"/>
  <c r="I29" i="1"/>
  <c r="J29" i="1"/>
  <c r="N29" i="1"/>
  <c r="O29" i="1"/>
  <c r="P29" i="1"/>
  <c r="Q29" i="1"/>
  <c r="R29" i="1"/>
  <c r="U29" i="1"/>
  <c r="G29" i="1"/>
  <c r="U30" i="14"/>
  <c r="V30" i="14"/>
  <c r="R30" i="18"/>
  <c r="Q30" i="18"/>
  <c r="O30" i="18"/>
  <c r="N30" i="18"/>
  <c r="M30" i="18"/>
  <c r="J30" i="18"/>
  <c r="I30" i="18"/>
  <c r="F30" i="18"/>
  <c r="E30" i="18"/>
  <c r="J3" i="24"/>
  <c r="D29" i="23"/>
  <c r="F29" i="23"/>
  <c r="H29" i="23"/>
  <c r="K29" i="23"/>
  <c r="L29" i="23"/>
  <c r="N29" i="23"/>
  <c r="O29" i="23"/>
  <c r="P29" i="23"/>
  <c r="E29" i="26"/>
  <c r="F29" i="26"/>
  <c r="H29" i="26"/>
  <c r="J29" i="26"/>
  <c r="K29" i="26"/>
  <c r="N29" i="26"/>
  <c r="V4" i="14"/>
  <c r="E29" i="14"/>
  <c r="E30" i="14" s="1"/>
  <c r="G3" i="12" s="1"/>
  <c r="U5" i="14"/>
  <c r="U4" i="14"/>
  <c r="U6" i="14"/>
  <c r="D29" i="14"/>
  <c r="D30" i="14" s="1"/>
  <c r="G2" i="12" s="1"/>
  <c r="U7" i="14"/>
  <c r="U8" i="14"/>
  <c r="AF30" i="15" l="1"/>
  <c r="G31" i="18"/>
  <c r="G30" i="23"/>
  <c r="G29" i="29"/>
  <c r="K31" i="18"/>
  <c r="D30" i="26"/>
  <c r="L30" i="26"/>
  <c r="I29" i="26"/>
  <c r="I29" i="29"/>
  <c r="D31" i="15"/>
  <c r="F2" i="12" s="1"/>
  <c r="O29" i="26"/>
  <c r="S31" i="18"/>
  <c r="Z30" i="15"/>
  <c r="R30" i="23"/>
  <c r="U29" i="13"/>
  <c r="U30" i="13" s="1"/>
  <c r="X29" i="13"/>
  <c r="X30" i="13" s="1"/>
  <c r="X29" i="14"/>
  <c r="X30" i="14" s="1"/>
  <c r="AB29" i="14"/>
  <c r="AB30" i="14" s="1"/>
  <c r="W29" i="14"/>
  <c r="X30" i="15"/>
  <c r="AA30" i="15"/>
  <c r="AA31" i="15" s="1"/>
  <c r="AE30" i="15"/>
  <c r="J30" i="23"/>
  <c r="I14" i="24"/>
  <c r="G30" i="26"/>
  <c r="AB29" i="13"/>
  <c r="AB30" i="13" s="1"/>
  <c r="W29" i="13"/>
  <c r="AA29" i="14"/>
  <c r="AA30" i="14" s="1"/>
  <c r="W30" i="15"/>
  <c r="W32" i="15" s="1"/>
  <c r="I14" i="19"/>
  <c r="P30" i="26"/>
  <c r="V29" i="13"/>
  <c r="V30" i="13" s="1"/>
  <c r="U30" i="15"/>
  <c r="Y30" i="15"/>
  <c r="AB31" i="13"/>
  <c r="W30" i="13"/>
  <c r="W31" i="13"/>
  <c r="W31" i="15"/>
  <c r="U32" i="15"/>
  <c r="U31" i="15"/>
  <c r="L14" i="24"/>
  <c r="W31" i="14"/>
  <c r="W30" i="14"/>
  <c r="J14" i="24"/>
  <c r="J14" i="11"/>
  <c r="X31" i="14"/>
  <c r="X32" i="15"/>
  <c r="X31" i="15"/>
  <c r="AB32" i="15"/>
  <c r="G29" i="31"/>
  <c r="P30" i="18"/>
  <c r="J3" i="19"/>
  <c r="J14" i="19" s="1"/>
  <c r="E29" i="23"/>
  <c r="I14" i="11"/>
  <c r="H30" i="18"/>
  <c r="D30" i="18"/>
  <c r="Q30" i="26"/>
  <c r="H27" i="33"/>
  <c r="H28" i="33" s="1"/>
  <c r="I29" i="31"/>
  <c r="M29" i="23"/>
  <c r="I29" i="23"/>
  <c r="L30" i="18"/>
  <c r="I27" i="33"/>
  <c r="I28" i="33" s="1"/>
  <c r="G27" i="33"/>
  <c r="G29" i="33" s="1"/>
  <c r="V31" i="13" l="1"/>
  <c r="X31" i="13"/>
  <c r="U31" i="13"/>
  <c r="AA31" i="14"/>
  <c r="AA32" i="15"/>
  <c r="AB31" i="14"/>
  <c r="G28" i="33"/>
  <c r="I29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Q11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E11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C11" authorId="0" shapeId="0" xr:uid="{00000000-0006-0000-1100-000001000000}">
      <text>
        <r>
          <rPr>
            <b/>
            <sz val="9"/>
            <color rgb="FF000000"/>
            <rFont val="Tahoma"/>
            <family val="2"/>
          </rPr>
          <t>JCH: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No access, high water.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E11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F11" authorId="0" shapeId="0" xr:uid="{00000000-0006-0000-13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F11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F11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F11" authorId="0" shapeId="0" xr:uid="{00000000-0006-0000-16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JCH</author>
  </authors>
  <commentList>
    <comment ref="F11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JCH:</t>
        </r>
        <r>
          <rPr>
            <sz val="9"/>
            <color indexed="81"/>
            <rFont val="Tahoma"/>
            <family val="2"/>
          </rPr>
          <t xml:space="preserve">
No access, high water.</t>
        </r>
      </text>
    </comment>
  </commentList>
</comments>
</file>

<file path=xl/sharedStrings.xml><?xml version="1.0" encoding="utf-8"?>
<sst xmlns="http://schemas.openxmlformats.org/spreadsheetml/2006/main" count="3122" uniqueCount="172">
  <si>
    <t>Plot</t>
  </si>
  <si>
    <t>Sawflies</t>
  </si>
  <si>
    <t>Saddleback Looper</t>
  </si>
  <si>
    <t>Gray Spruce Looper</t>
  </si>
  <si>
    <t>Western False Hemlock Looper</t>
  </si>
  <si>
    <t>Western Hemlock Looper</t>
  </si>
  <si>
    <t>Black-headed budworm</t>
  </si>
  <si>
    <t>Green-striped forest looper</t>
  </si>
  <si>
    <t>Geometridae</t>
  </si>
  <si>
    <t>Total</t>
  </si>
  <si>
    <t>Nematocampa spp</t>
  </si>
  <si>
    <t>Orgyia spp</t>
  </si>
  <si>
    <t>Feralia spp</t>
  </si>
  <si>
    <t>DEFOLIATON ESTIMATE</t>
  </si>
  <si>
    <t>N</t>
  </si>
  <si>
    <t>T</t>
  </si>
  <si>
    <t>L</t>
  </si>
  <si>
    <t>Nytobia limitaria</t>
  </si>
  <si>
    <t>Semiothisa s. unipunctaria</t>
  </si>
  <si>
    <t>Protoboarmia p. indicataria</t>
  </si>
  <si>
    <t xml:space="preserve"> </t>
  </si>
  <si>
    <t>Stenoponpia p. satisfacta</t>
  </si>
  <si>
    <t>Choristoneura occidentalis</t>
  </si>
  <si>
    <t>Hypagyrtia piniata</t>
  </si>
  <si>
    <t>Eupithecia spp.</t>
  </si>
  <si>
    <t>Location</t>
  </si>
  <si>
    <t>Begbie Crk</t>
  </si>
  <si>
    <t>Gerrad</t>
  </si>
  <si>
    <t>Trout Lake</t>
  </si>
  <si>
    <t>Lardeau FSR</t>
  </si>
  <si>
    <t>Meadow Crk</t>
  </si>
  <si>
    <t>Schroeder Crk</t>
  </si>
  <si>
    <t>Beaton</t>
  </si>
  <si>
    <t>Quartz Crk</t>
  </si>
  <si>
    <t>Tangier FSR</t>
  </si>
  <si>
    <t>Beaver River</t>
  </si>
  <si>
    <t>Jumping Crk</t>
  </si>
  <si>
    <t>Goldstream River</t>
  </si>
  <si>
    <t>Downie Crk</t>
  </si>
  <si>
    <t>Bigmouth Crk</t>
  </si>
  <si>
    <t>Carnes Crk</t>
  </si>
  <si>
    <t>Pitt Crk Rec Site</t>
  </si>
  <si>
    <t>Keen Crk</t>
  </si>
  <si>
    <t>Hills</t>
  </si>
  <si>
    <t>Halfway River</t>
  </si>
  <si>
    <t>Box Lake</t>
  </si>
  <si>
    <t xml:space="preserve">Kuskanax Crk </t>
  </si>
  <si>
    <t>Shelter Bay Ferry</t>
  </si>
  <si>
    <t>Kinbasket Lk</t>
  </si>
  <si>
    <t>Synaxis pallulata</t>
  </si>
  <si>
    <t>Martha Crk</t>
  </si>
  <si>
    <t>Kleidocerys sp.</t>
  </si>
  <si>
    <t>Sutherland Falls</t>
  </si>
  <si>
    <t>Callophrys rosneri</t>
  </si>
  <si>
    <t>Psychidae</t>
  </si>
  <si>
    <t>M</t>
  </si>
  <si>
    <t>Acantholyda</t>
  </si>
  <si>
    <t>Orgyia sp</t>
  </si>
  <si>
    <t>S</t>
  </si>
  <si>
    <t>Nematocampa filamentaria</t>
  </si>
  <si>
    <t>Choristonerua occidentalis</t>
  </si>
  <si>
    <t>Pamphiliidae sp</t>
  </si>
  <si>
    <t>Eupethicia spp.</t>
  </si>
  <si>
    <t>Western Spruce Budworm</t>
  </si>
  <si>
    <t>Cosmia praecuta</t>
  </si>
  <si>
    <t>Negative</t>
  </si>
  <si>
    <t>OTHER DEFOLIATORS</t>
  </si>
  <si>
    <t>PRIMARY</t>
  </si>
  <si>
    <t>SECONDARY</t>
  </si>
  <si>
    <t>down</t>
  </si>
  <si>
    <t>Average</t>
  </si>
  <si>
    <t>Trap Number</t>
  </si>
  <si>
    <t>Dasychira grisefacta</t>
  </si>
  <si>
    <t>Average Infested</t>
  </si>
  <si>
    <t>Western hemlock looper</t>
  </si>
  <si>
    <t>Western blackheaded budworm</t>
  </si>
  <si>
    <t xml:space="preserve">Average   </t>
  </si>
  <si>
    <t>Major Defoliator</t>
  </si>
  <si>
    <r>
      <t>Important Note: Beating Size 2M*3M = 6M</t>
    </r>
    <r>
      <rPr>
        <b/>
        <vertAlign val="superscript"/>
        <sz val="14"/>
        <rFont val="Arial"/>
        <family val="2"/>
      </rPr>
      <t>2</t>
    </r>
    <r>
      <rPr>
        <b/>
        <sz val="14"/>
        <rFont val="Arial"/>
        <family val="2"/>
      </rPr>
      <t xml:space="preserve"> square</t>
    </r>
  </si>
  <si>
    <r>
      <t>Important Note: Beating Size 2M*3M = 6M</t>
    </r>
    <r>
      <rPr>
        <b/>
        <vertAlign val="superscript"/>
        <sz val="14"/>
        <rFont val="Arial"/>
        <family val="2"/>
      </rPr>
      <t>2</t>
    </r>
    <r>
      <rPr>
        <b/>
        <sz val="14"/>
        <rFont val="Arial"/>
        <family val="2"/>
      </rPr>
      <t xml:space="preserve"> </t>
    </r>
  </si>
  <si>
    <r>
      <t>Important Note: Beating Size 2M*3M = 6M</t>
    </r>
    <r>
      <rPr>
        <b/>
        <vertAlign val="superscript"/>
        <sz val="11"/>
        <rFont val="Arial"/>
        <family val="2"/>
      </rPr>
      <t>2</t>
    </r>
    <r>
      <rPr>
        <b/>
        <sz val="11"/>
        <rFont val="Arial"/>
        <family val="2"/>
      </rPr>
      <t xml:space="preserve"> </t>
    </r>
  </si>
  <si>
    <t>Adjusted to 2M*3M beating sheet size.</t>
  </si>
  <si>
    <r>
      <t>Original Data: Beating sheet Size 1.4M*1.5M = 2.1M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 xml:space="preserve"> </t>
    </r>
  </si>
  <si>
    <r>
      <t>Original Data: Beating Size 1.4M*1.5M = 2.1M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 xml:space="preserve"> </t>
    </r>
  </si>
  <si>
    <r>
      <t>Original Data: Beating Sheet Size 1.4M*1.5M = 2.1M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 xml:space="preserve"> </t>
    </r>
  </si>
  <si>
    <t>Counts adjusted to equate to 2M*3M beating sheet</t>
  </si>
  <si>
    <t>Cladara limitaria</t>
  </si>
  <si>
    <t>PSP</t>
  </si>
  <si>
    <t>Gabriola dyari</t>
  </si>
  <si>
    <t>Keen Crk (new location 09)</t>
  </si>
  <si>
    <t>Cosmia spp.</t>
  </si>
  <si>
    <t>bear</t>
  </si>
  <si>
    <t>windthrow</t>
  </si>
  <si>
    <t>Nematocampa resistaria</t>
  </si>
  <si>
    <t>Stenoporpia pulmonaria satisfacta</t>
  </si>
  <si>
    <t>Eupithecia placidata</t>
  </si>
  <si>
    <t>Eupithicia olivacea</t>
  </si>
  <si>
    <t>% Positive</t>
  </si>
  <si>
    <t>Contract</t>
  </si>
  <si>
    <t>Art</t>
  </si>
  <si>
    <t>Lorraine</t>
  </si>
  <si>
    <t xml:space="preserve">Contract </t>
  </si>
  <si>
    <t>Martha Creek</t>
  </si>
  <si>
    <t xml:space="preserve"> /</t>
  </si>
  <si>
    <t>Downie Creek</t>
  </si>
  <si>
    <t>Bigmouth Creek</t>
  </si>
  <si>
    <t>Carnes Creek</t>
  </si>
  <si>
    <t>Begbie Creek</t>
  </si>
  <si>
    <t>Kinbasket Lake</t>
  </si>
  <si>
    <t>Jumping Creek</t>
  </si>
  <si>
    <t>Trap Counts</t>
  </si>
  <si>
    <t>PSS</t>
  </si>
  <si>
    <t>Locatoin</t>
  </si>
  <si>
    <t>BEAR - consider moving site</t>
  </si>
  <si>
    <t xml:space="preserve">Total </t>
  </si>
  <si>
    <t>Year</t>
  </si>
  <si>
    <t>OldRegion</t>
  </si>
  <si>
    <t>PSSName</t>
  </si>
  <si>
    <t>Semiothisa s unipunctaria</t>
  </si>
  <si>
    <t>Eupithecia spp</t>
  </si>
  <si>
    <t>Protoboarmia p indicataria</t>
  </si>
  <si>
    <t>Macaria signaria</t>
  </si>
  <si>
    <t>Nil</t>
  </si>
  <si>
    <t>NIl</t>
  </si>
  <si>
    <t>NFR</t>
  </si>
  <si>
    <t>NFR30</t>
  </si>
  <si>
    <t>NFR38</t>
  </si>
  <si>
    <t>NFR58</t>
  </si>
  <si>
    <t>NFR61</t>
  </si>
  <si>
    <t>NFR62</t>
  </si>
  <si>
    <t>Kuskanax Crk</t>
  </si>
  <si>
    <t>NFR65</t>
  </si>
  <si>
    <t>NFR66</t>
  </si>
  <si>
    <t>NFR69</t>
  </si>
  <si>
    <t>NFR70</t>
  </si>
  <si>
    <t>NFR71</t>
  </si>
  <si>
    <t>NFR72</t>
  </si>
  <si>
    <t>NFR73</t>
  </si>
  <si>
    <t>NFR74</t>
  </si>
  <si>
    <t>NFR75</t>
  </si>
  <si>
    <t>NFR76</t>
  </si>
  <si>
    <t>NFR78</t>
  </si>
  <si>
    <t>NFR79</t>
  </si>
  <si>
    <t>NFR80</t>
  </si>
  <si>
    <t>NFR81</t>
  </si>
  <si>
    <t>NFR82</t>
  </si>
  <si>
    <t>NFR83</t>
  </si>
  <si>
    <t>NFR84</t>
  </si>
  <si>
    <t>NFR85</t>
  </si>
  <si>
    <t>NFR86</t>
  </si>
  <si>
    <t>NFR87</t>
  </si>
  <si>
    <t>Zeiraphera canadensis</t>
  </si>
  <si>
    <t>No Access - high water</t>
  </si>
  <si>
    <t>Trace -BHB</t>
  </si>
  <si>
    <t>Trace - BHB</t>
  </si>
  <si>
    <t>x</t>
  </si>
  <si>
    <t>Feralia jocosa</t>
  </si>
  <si>
    <t>Noctuidae</t>
  </si>
  <si>
    <t>Geographic</t>
  </si>
  <si>
    <t>Rev N and E</t>
  </si>
  <si>
    <t>RevSouth</t>
  </si>
  <si>
    <t>n/a</t>
  </si>
  <si>
    <t>Not able to retreive - construction - campsite closed</t>
  </si>
  <si>
    <t>Road Closed - Bridge Out</t>
  </si>
  <si>
    <t>missing</t>
  </si>
  <si>
    <t>Filament Bearer</t>
  </si>
  <si>
    <t>T-L</t>
  </si>
  <si>
    <t>Stenoporpia excelsaria</t>
  </si>
  <si>
    <t>Tolype dayi</t>
  </si>
  <si>
    <t>Now a gravel pit - site will have to be relocated</t>
  </si>
  <si>
    <t>TSA</t>
  </si>
  <si>
    <t>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</si>
</sst>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_-* #,##0_-;\-* #,##0_-;_-* &quot;-&quot;??_-;_-@_-"/>
    <numFmt numFmtId="168" formatCode="#,##0.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vertAlign val="superscript"/>
      <sz val="11"/>
      <name val="Arial"/>
      <family val="2"/>
    </font>
    <font>
      <b/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name val="Arial"/>
      <family val="2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0" borderId="0"/>
    <xf numFmtId="0" fontId="8" fillId="0" borderId="0"/>
    <xf numFmtId="0" fontId="21" fillId="0" borderId="0"/>
    <xf numFmtId="0" fontId="20" fillId="0" borderId="0"/>
    <xf numFmtId="0" fontId="18" fillId="0" borderId="0"/>
    <xf numFmtId="0" fontId="2" fillId="0" borderId="0"/>
    <xf numFmtId="43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289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textRotation="90" wrapText="1"/>
    </xf>
    <xf numFmtId="0" fontId="0" fillId="0" borderId="0" xfId="0" applyBorder="1"/>
    <xf numFmtId="0" fontId="0" fillId="0" borderId="0" xfId="0" applyFill="1"/>
    <xf numFmtId="0" fontId="0" fillId="0" borderId="3" xfId="0" applyBorder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 wrapText="1"/>
    </xf>
    <xf numFmtId="1" fontId="7" fillId="0" borderId="4" xfId="0" applyNumberFormat="1" applyFont="1" applyBorder="1" applyAlignment="1">
      <alignment horizontal="center" wrapText="1"/>
    </xf>
    <xf numFmtId="1" fontId="7" fillId="0" borderId="4" xfId="0" applyNumberFormat="1" applyFont="1" applyFill="1" applyBorder="1" applyAlignment="1">
      <alignment horizontal="center"/>
    </xf>
    <xf numFmtId="1" fontId="7" fillId="0" borderId="11" xfId="0" applyNumberFormat="1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1" fontId="6" fillId="0" borderId="1" xfId="0" applyNumberFormat="1" applyFont="1" applyBorder="1"/>
    <xf numFmtId="0" fontId="0" fillId="0" borderId="0" xfId="0" applyFill="1" applyBorder="1"/>
    <xf numFmtId="0" fontId="6" fillId="0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/>
    </xf>
    <xf numFmtId="0" fontId="8" fillId="0" borderId="0" xfId="0" applyFont="1"/>
    <xf numFmtId="165" fontId="8" fillId="0" borderId="0" xfId="0" applyNumberFormat="1" applyFont="1"/>
    <xf numFmtId="165" fontId="0" fillId="0" borderId="0" xfId="0" applyNumberFormat="1"/>
    <xf numFmtId="0" fontId="5" fillId="0" borderId="4" xfId="6" applyFont="1" applyFill="1" applyBorder="1" applyAlignment="1">
      <alignment horizontal="center" vertical="center" textRotation="90" wrapText="1"/>
    </xf>
    <xf numFmtId="0" fontId="5" fillId="0" borderId="4" xfId="6" applyFont="1" applyBorder="1" applyAlignment="1">
      <alignment horizontal="center" vertical="center" textRotation="90" wrapText="1"/>
    </xf>
    <xf numFmtId="0" fontId="5" fillId="0" borderId="5" xfId="6" applyFont="1" applyBorder="1" applyAlignment="1">
      <alignment horizontal="center" vertical="center" textRotation="90" wrapText="1"/>
    </xf>
    <xf numFmtId="0" fontId="5" fillId="0" borderId="7" xfId="6" applyFont="1" applyBorder="1" applyAlignment="1">
      <alignment horizontal="center" vertical="center" textRotation="90" wrapText="1"/>
    </xf>
    <xf numFmtId="0" fontId="6" fillId="0" borderId="4" xfId="6" applyFont="1" applyBorder="1" applyAlignment="1">
      <alignment horizontal="center"/>
    </xf>
    <xf numFmtId="0" fontId="6" fillId="0" borderId="5" xfId="6" applyFont="1" applyBorder="1" applyAlignment="1">
      <alignment horizontal="center"/>
    </xf>
    <xf numFmtId="0" fontId="6" fillId="0" borderId="7" xfId="6" applyFont="1" applyBorder="1" applyAlignment="1">
      <alignment horizontal="center"/>
    </xf>
    <xf numFmtId="0" fontId="6" fillId="0" borderId="4" xfId="6" applyFont="1" applyFill="1" applyBorder="1" applyAlignment="1">
      <alignment horizontal="center"/>
    </xf>
    <xf numFmtId="0" fontId="6" fillId="0" borderId="5" xfId="6" applyFont="1" applyFill="1" applyBorder="1" applyAlignment="1">
      <alignment horizontal="center"/>
    </xf>
    <xf numFmtId="0" fontId="6" fillId="0" borderId="7" xfId="6" applyFont="1" applyFill="1" applyBorder="1" applyAlignment="1">
      <alignment horizontal="center"/>
    </xf>
    <xf numFmtId="0" fontId="7" fillId="0" borderId="4" xfId="6" applyFont="1" applyBorder="1" applyAlignment="1">
      <alignment horizontal="center"/>
    </xf>
    <xf numFmtId="0" fontId="7" fillId="0" borderId="5" xfId="6" applyFont="1" applyBorder="1" applyAlignment="1">
      <alignment horizontal="center"/>
    </xf>
    <xf numFmtId="0" fontId="7" fillId="0" borderId="7" xfId="6" applyFont="1" applyBorder="1" applyAlignment="1">
      <alignment horizontal="center"/>
    </xf>
    <xf numFmtId="0" fontId="6" fillId="0" borderId="8" xfId="6" applyFont="1" applyBorder="1" applyAlignment="1">
      <alignment horizontal="center"/>
    </xf>
    <xf numFmtId="1" fontId="7" fillId="0" borderId="9" xfId="6" applyNumberFormat="1" applyFont="1" applyBorder="1" applyAlignment="1">
      <alignment horizontal="center"/>
    </xf>
    <xf numFmtId="1" fontId="7" fillId="0" borderId="4" xfId="6" applyNumberFormat="1" applyFont="1" applyBorder="1" applyAlignment="1">
      <alignment horizontal="center"/>
    </xf>
    <xf numFmtId="1" fontId="6" fillId="0" borderId="1" xfId="6" applyNumberFormat="1" applyFont="1" applyBorder="1" applyAlignment="1">
      <alignment horizontal="center"/>
    </xf>
    <xf numFmtId="0" fontId="6" fillId="0" borderId="0" xfId="6" applyFont="1" applyBorder="1" applyAlignment="1">
      <alignment horizontal="center"/>
    </xf>
    <xf numFmtId="0" fontId="6" fillId="0" borderId="0" xfId="6" applyFont="1" applyBorder="1"/>
    <xf numFmtId="0" fontId="6" fillId="0" borderId="7" xfId="6" applyFont="1" applyBorder="1"/>
    <xf numFmtId="0" fontId="6" fillId="0" borderId="0" xfId="0" applyFont="1"/>
    <xf numFmtId="0" fontId="6" fillId="0" borderId="0" xfId="6" applyFont="1" applyFill="1" applyBorder="1"/>
    <xf numFmtId="165" fontId="6" fillId="0" borderId="0" xfId="0" applyNumberFormat="1" applyFont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8" xfId="0" applyFont="1" applyBorder="1"/>
    <xf numFmtId="0" fontId="6" fillId="0" borderId="3" xfId="0" applyFont="1" applyBorder="1"/>
    <xf numFmtId="165" fontId="6" fillId="0" borderId="9" xfId="0" applyNumberFormat="1" applyFont="1" applyBorder="1"/>
    <xf numFmtId="165" fontId="5" fillId="0" borderId="1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15" xfId="0" applyNumberFormat="1" applyFont="1" applyBorder="1" applyAlignment="1">
      <alignment horizontal="center"/>
    </xf>
    <xf numFmtId="0" fontId="6" fillId="0" borderId="13" xfId="0" applyFont="1" applyBorder="1"/>
    <xf numFmtId="0" fontId="6" fillId="0" borderId="16" xfId="0" applyFont="1" applyFill="1" applyBorder="1"/>
    <xf numFmtId="0" fontId="6" fillId="0" borderId="2" xfId="0" applyFont="1" applyBorder="1"/>
    <xf numFmtId="0" fontId="5" fillId="0" borderId="1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165" fontId="7" fillId="0" borderId="4" xfId="0" applyNumberFormat="1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5" fontId="7" fillId="0" borderId="11" xfId="0" applyNumberFormat="1" applyFont="1" applyFill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65" fontId="7" fillId="0" borderId="4" xfId="6" applyNumberFormat="1" applyFont="1" applyBorder="1" applyAlignment="1">
      <alignment horizontal="center"/>
    </xf>
    <xf numFmtId="165" fontId="7" fillId="0" borderId="5" xfId="6" applyNumberFormat="1" applyFont="1" applyBorder="1" applyAlignment="1">
      <alignment horizontal="center"/>
    </xf>
    <xf numFmtId="165" fontId="7" fillId="0" borderId="7" xfId="6" applyNumberFormat="1" applyFont="1" applyBorder="1" applyAlignment="1">
      <alignment horizontal="center"/>
    </xf>
    <xf numFmtId="0" fontId="7" fillId="0" borderId="4" xfId="6" applyFont="1" applyBorder="1"/>
    <xf numFmtId="165" fontId="7" fillId="0" borderId="4" xfId="6" applyNumberFormat="1" applyFont="1" applyBorder="1"/>
    <xf numFmtId="165" fontId="7" fillId="0" borderId="7" xfId="0" applyNumberFormat="1" applyFont="1" applyBorder="1" applyAlignment="1">
      <alignment horizontal="center"/>
    </xf>
    <xf numFmtId="0" fontId="9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165" fontId="0" fillId="8" borderId="0" xfId="0" applyNumberFormat="1" applyFill="1"/>
    <xf numFmtId="0" fontId="0" fillId="8" borderId="0" xfId="0" applyFill="1"/>
    <xf numFmtId="0" fontId="8" fillId="8" borderId="0" xfId="0" applyFont="1" applyFill="1"/>
    <xf numFmtId="0" fontId="4" fillId="9" borderId="0" xfId="0" applyFont="1" applyFill="1"/>
    <xf numFmtId="0" fontId="0" fillId="9" borderId="0" xfId="0" applyFill="1" applyBorder="1"/>
    <xf numFmtId="0" fontId="3" fillId="9" borderId="0" xfId="0" applyFont="1" applyFill="1" applyBorder="1" applyAlignment="1">
      <alignment horizontal="center" vertical="center" textRotation="90" wrapText="1"/>
    </xf>
    <xf numFmtId="0" fontId="0" fillId="9" borderId="1" xfId="0" applyFill="1" applyBorder="1"/>
    <xf numFmtId="0" fontId="0" fillId="9" borderId="0" xfId="0" applyFill="1"/>
    <xf numFmtId="1" fontId="0" fillId="9" borderId="0" xfId="0" applyNumberFormat="1" applyFill="1" applyAlignment="1">
      <alignment horizontal="center"/>
    </xf>
    <xf numFmtId="1" fontId="0" fillId="9" borderId="0" xfId="0" applyNumberFormat="1" applyFill="1"/>
    <xf numFmtId="1" fontId="4" fillId="0" borderId="0" xfId="0" applyNumberFormat="1" applyFont="1"/>
    <xf numFmtId="1" fontId="4" fillId="0" borderId="5" xfId="0" applyNumberFormat="1" applyFon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5" xfId="0" applyNumberFormat="1" applyBorder="1"/>
    <xf numFmtId="1" fontId="0" fillId="0" borderId="5" xfId="0" applyNumberFormat="1" applyBorder="1" applyAlignment="1">
      <alignment horizontal="center"/>
    </xf>
    <xf numFmtId="1" fontId="5" fillId="0" borderId="4" xfId="0" applyNumberFormat="1" applyFont="1" applyBorder="1" applyAlignment="1">
      <alignment horizontal="center" vertical="center" textRotation="90" wrapText="1"/>
    </xf>
    <xf numFmtId="1" fontId="5" fillId="0" borderId="5" xfId="0" applyNumberFormat="1" applyFont="1" applyBorder="1" applyAlignment="1">
      <alignment horizontal="center" vertical="center" textRotation="90" wrapText="1"/>
    </xf>
    <xf numFmtId="1" fontId="6" fillId="0" borderId="4" xfId="0" applyNumberFormat="1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4" fillId="10" borderId="0" xfId="0" applyFont="1" applyFill="1"/>
    <xf numFmtId="0" fontId="0" fillId="10" borderId="0" xfId="0" applyFill="1"/>
    <xf numFmtId="0" fontId="0" fillId="10" borderId="0" xfId="0" applyFill="1" applyBorder="1"/>
    <xf numFmtId="0" fontId="3" fillId="10" borderId="0" xfId="0" applyFont="1" applyFill="1" applyBorder="1" applyAlignment="1">
      <alignment horizontal="center" vertical="center" textRotation="90" wrapText="1"/>
    </xf>
    <xf numFmtId="0" fontId="0" fillId="10" borderId="1" xfId="0" applyFill="1" applyBorder="1"/>
    <xf numFmtId="1" fontId="0" fillId="10" borderId="0" xfId="0" applyNumberFormat="1" applyFill="1" applyAlignment="1">
      <alignment horizontal="center"/>
    </xf>
    <xf numFmtId="1" fontId="0" fillId="10" borderId="0" xfId="0" applyNumberFormat="1" applyFill="1"/>
    <xf numFmtId="0" fontId="7" fillId="0" borderId="7" xfId="6" applyFont="1" applyBorder="1" applyAlignment="1"/>
    <xf numFmtId="0" fontId="6" fillId="0" borderId="3" xfId="6" applyFont="1" applyBorder="1" applyAlignment="1">
      <alignment horizontal="center"/>
    </xf>
    <xf numFmtId="1" fontId="6" fillId="0" borderId="0" xfId="6" applyNumberFormat="1" applyFont="1" applyBorder="1" applyAlignment="1">
      <alignment horizontal="center"/>
    </xf>
    <xf numFmtId="0" fontId="6" fillId="11" borderId="7" xfId="6" applyFont="1" applyFill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0" fontId="0" fillId="0" borderId="7" xfId="0" applyBorder="1" applyAlignment="1"/>
    <xf numFmtId="0" fontId="7" fillId="0" borderId="0" xfId="6" applyFont="1" applyBorder="1"/>
    <xf numFmtId="1" fontId="7" fillId="0" borderId="0" xfId="0" applyNumberFormat="1" applyFont="1" applyBorder="1" applyAlignment="1">
      <alignment horizontal="center" wrapText="1"/>
    </xf>
    <xf numFmtId="1" fontId="7" fillId="0" borderId="0" xfId="0" applyNumberFormat="1" applyFont="1" applyFill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6" fillId="0" borderId="0" xfId="0" applyNumberFormat="1" applyFont="1" applyBorder="1"/>
    <xf numFmtId="0" fontId="3" fillId="0" borderId="0" xfId="0" applyFont="1" applyFill="1" applyBorder="1" applyAlignment="1">
      <alignment horizontal="center" vertical="center" textRotation="90" wrapText="1"/>
    </xf>
    <xf numFmtId="0" fontId="24" fillId="0" borderId="4" xfId="6" applyFont="1" applyBorder="1" applyAlignment="1">
      <alignment horizontal="center"/>
    </xf>
    <xf numFmtId="0" fontId="24" fillId="0" borderId="4" xfId="6" applyFont="1" applyBorder="1"/>
    <xf numFmtId="0" fontId="25" fillId="0" borderId="4" xfId="6" applyFont="1" applyBorder="1" applyAlignment="1">
      <alignment horizontal="center"/>
    </xf>
    <xf numFmtId="0" fontId="24" fillId="0" borderId="4" xfId="6" applyFont="1" applyFill="1" applyBorder="1"/>
    <xf numFmtId="165" fontId="25" fillId="0" borderId="4" xfId="6" applyNumberFormat="1" applyFont="1" applyBorder="1" applyAlignment="1">
      <alignment horizontal="center"/>
    </xf>
    <xf numFmtId="0" fontId="6" fillId="0" borderId="6" xfId="6" applyFont="1" applyBorder="1" applyAlignment="1">
      <alignment horizontal="center"/>
    </xf>
    <xf numFmtId="166" fontId="25" fillId="0" borderId="4" xfId="3" applyNumberFormat="1" applyFont="1" applyBorder="1" applyAlignment="1">
      <alignment horizontal="center"/>
    </xf>
    <xf numFmtId="1" fontId="25" fillId="0" borderId="4" xfId="6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4" fillId="0" borderId="0" xfId="6" applyFont="1" applyBorder="1" applyAlignment="1">
      <alignment horizontal="center"/>
    </xf>
    <xf numFmtId="0" fontId="24" fillId="0" borderId="0" xfId="6" applyFont="1" applyBorder="1"/>
    <xf numFmtId="0" fontId="24" fillId="0" borderId="0" xfId="6" applyFont="1" applyFill="1" applyBorder="1"/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167" fontId="25" fillId="0" borderId="4" xfId="3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7" fillId="0" borderId="0" xfId="6" applyFont="1" applyBorder="1" applyAlignment="1">
      <alignment horizontal="center"/>
    </xf>
    <xf numFmtId="0" fontId="24" fillId="0" borderId="0" xfId="0" applyFont="1" applyBorder="1" applyAlignment="1">
      <alignment horizontal="center" textRotation="90"/>
    </xf>
    <xf numFmtId="0" fontId="6" fillId="0" borderId="0" xfId="0" applyFont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4" xfId="0" applyFont="1" applyBorder="1"/>
    <xf numFmtId="0" fontId="24" fillId="0" borderId="0" xfId="0" applyFont="1" applyAlignment="1">
      <alignment horizontal="center"/>
    </xf>
    <xf numFmtId="0" fontId="24" fillId="0" borderId="4" xfId="6" applyFont="1" applyBorder="1" applyAlignment="1">
      <alignment horizontal="center"/>
    </xf>
    <xf numFmtId="0" fontId="24" fillId="0" borderId="4" xfId="6" applyFont="1" applyBorder="1"/>
    <xf numFmtId="0" fontId="24" fillId="0" borderId="4" xfId="6" applyFont="1" applyFill="1" applyBorder="1"/>
    <xf numFmtId="167" fontId="24" fillId="0" borderId="4" xfId="3" applyNumberFormat="1" applyFont="1" applyBorder="1" applyAlignment="1">
      <alignment horizontal="center"/>
    </xf>
    <xf numFmtId="167" fontId="17" fillId="0" borderId="4" xfId="3" applyNumberFormat="1" applyFont="1" applyBorder="1" applyAlignment="1">
      <alignment horizontal="center"/>
    </xf>
    <xf numFmtId="167" fontId="24" fillId="0" borderId="0" xfId="3" applyNumberFormat="1" applyFont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12" borderId="0" xfId="0" applyFont="1" applyFill="1" applyBorder="1" applyAlignment="1">
      <alignment horizontal="center"/>
    </xf>
    <xf numFmtId="167" fontId="6" fillId="0" borderId="0" xfId="0" applyNumberFormat="1" applyFont="1"/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8" borderId="0" xfId="0" applyFont="1" applyFill="1"/>
    <xf numFmtId="0" fontId="24" fillId="8" borderId="0" xfId="0" applyFont="1" applyFill="1" applyAlignment="1">
      <alignment wrapText="1"/>
    </xf>
    <xf numFmtId="0" fontId="24" fillId="0" borderId="0" xfId="0" applyFont="1" applyAlignment="1">
      <alignment horizontal="center"/>
    </xf>
    <xf numFmtId="0" fontId="24" fillId="0" borderId="0" xfId="0" applyFont="1" applyFill="1" applyAlignment="1">
      <alignment wrapText="1"/>
    </xf>
    <xf numFmtId="0" fontId="24" fillId="0" borderId="0" xfId="0" applyFont="1" applyFill="1"/>
    <xf numFmtId="0" fontId="27" fillId="0" borderId="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167" fontId="0" fillId="0" borderId="0" xfId="0" applyNumberFormat="1"/>
    <xf numFmtId="0" fontId="24" fillId="0" borderId="0" xfId="0" applyFont="1" applyAlignment="1">
      <alignment horizontal="center"/>
    </xf>
    <xf numFmtId="1" fontId="24" fillId="0" borderId="4" xfId="3" applyNumberFormat="1" applyFont="1" applyBorder="1" applyAlignment="1">
      <alignment horizontal="center"/>
    </xf>
    <xf numFmtId="1" fontId="17" fillId="0" borderId="4" xfId="3" applyNumberFormat="1" applyFont="1" applyBorder="1" applyAlignment="1">
      <alignment horizontal="center"/>
    </xf>
    <xf numFmtId="168" fontId="25" fillId="0" borderId="4" xfId="3" applyNumberFormat="1" applyFont="1" applyBorder="1" applyAlignment="1">
      <alignment horizontal="center"/>
    </xf>
    <xf numFmtId="167" fontId="2" fillId="0" borderId="0" xfId="0" applyNumberFormat="1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3" fontId="24" fillId="0" borderId="4" xfId="3" applyNumberFormat="1" applyFont="1" applyBorder="1" applyAlignment="1">
      <alignment horizontal="right"/>
    </xf>
    <xf numFmtId="0" fontId="2" fillId="0" borderId="12" xfId="0" applyFont="1" applyFill="1" applyBorder="1"/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4" xfId="6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4" fillId="0" borderId="4" xfId="2" applyFont="1" applyFill="1" applyBorder="1" applyAlignment="1">
      <alignment horizontal="center"/>
    </xf>
    <xf numFmtId="0" fontId="24" fillId="0" borderId="4" xfId="1" applyFont="1" applyFill="1" applyBorder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24" fillId="0" borderId="4" xfId="0" applyNumberFormat="1" applyFont="1" applyBorder="1" applyAlignment="1">
      <alignment horizontal="center"/>
    </xf>
    <xf numFmtId="165" fontId="24" fillId="0" borderId="0" xfId="0" applyNumberFormat="1" applyFont="1"/>
    <xf numFmtId="165" fontId="2" fillId="0" borderId="4" xfId="0" applyNumberFormat="1" applyFont="1" applyBorder="1" applyAlignment="1">
      <alignment horizontal="center"/>
    </xf>
    <xf numFmtId="165" fontId="2" fillId="0" borderId="12" xfId="0" applyNumberFormat="1" applyFont="1" applyFill="1" applyBorder="1" applyAlignment="1">
      <alignment horizontal="center"/>
    </xf>
    <xf numFmtId="165" fontId="2" fillId="0" borderId="4" xfId="0" applyNumberFormat="1" applyFont="1" applyFill="1" applyBorder="1" applyAlignment="1">
      <alignment horizontal="center"/>
    </xf>
    <xf numFmtId="165" fontId="24" fillId="0" borderId="0" xfId="0" applyNumberFormat="1" applyFont="1" applyBorder="1" applyAlignment="1">
      <alignment horizontal="center"/>
    </xf>
    <xf numFmtId="165" fontId="24" fillId="0" borderId="0" xfId="0" applyNumberFormat="1" applyFont="1" applyFill="1" applyAlignment="1">
      <alignment horizontal="center"/>
    </xf>
    <xf numFmtId="168" fontId="25" fillId="0" borderId="4" xfId="3" applyNumberFormat="1" applyFont="1" applyFill="1" applyBorder="1" applyAlignment="1">
      <alignment horizontal="center"/>
    </xf>
    <xf numFmtId="1" fontId="24" fillId="0" borderId="4" xfId="3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27" fillId="0" borderId="4" xfId="0" applyFont="1" applyBorder="1" applyAlignment="1">
      <alignment horizontal="left"/>
    </xf>
    <xf numFmtId="1" fontId="27" fillId="0" borderId="4" xfId="0" applyNumberFormat="1" applyFont="1" applyBorder="1" applyAlignment="1">
      <alignment horizontal="left"/>
    </xf>
    <xf numFmtId="1" fontId="27" fillId="0" borderId="5" xfId="0" applyNumberFormat="1" applyFont="1" applyBorder="1" applyAlignment="1">
      <alignment horizontal="left"/>
    </xf>
    <xf numFmtId="1" fontId="27" fillId="0" borderId="4" xfId="14" applyNumberFormat="1" applyFont="1" applyBorder="1" applyAlignment="1">
      <alignment horizontal="left"/>
    </xf>
    <xf numFmtId="1" fontId="29" fillId="0" borderId="4" xfId="3" applyNumberFormat="1" applyFont="1" applyBorder="1" applyAlignment="1">
      <alignment horizontal="left"/>
    </xf>
    <xf numFmtId="1" fontId="27" fillId="0" borderId="4" xfId="0" applyNumberFormat="1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wrapText="1"/>
    </xf>
    <xf numFmtId="0" fontId="27" fillId="0" borderId="0" xfId="14" applyFont="1" applyAlignment="1">
      <alignment horizontal="center"/>
    </xf>
    <xf numFmtId="0" fontId="24" fillId="0" borderId="0" xfId="0" applyFont="1" applyAlignment="1">
      <alignment horizontal="center" textRotation="90"/>
    </xf>
    <xf numFmtId="0" fontId="24" fillId="0" borderId="4" xfId="0" applyFont="1" applyBorder="1" applyAlignment="1">
      <alignment horizontal="center" textRotation="90"/>
    </xf>
    <xf numFmtId="0" fontId="24" fillId="0" borderId="4" xfId="0" applyFont="1" applyFill="1" applyBorder="1" applyAlignment="1">
      <alignment wrapText="1"/>
    </xf>
    <xf numFmtId="0" fontId="27" fillId="0" borderId="4" xfId="0" applyFont="1" applyBorder="1" applyAlignment="1">
      <alignment horizontal="center"/>
    </xf>
    <xf numFmtId="0" fontId="27" fillId="0" borderId="4" xfId="6" applyFont="1" applyBorder="1" applyAlignment="1">
      <alignment horizontal="center"/>
    </xf>
    <xf numFmtId="0" fontId="24" fillId="0" borderId="4" xfId="0" applyFont="1" applyFill="1" applyBorder="1"/>
    <xf numFmtId="0" fontId="27" fillId="0" borderId="4" xfId="0" applyFont="1" applyBorder="1"/>
    <xf numFmtId="0" fontId="6" fillId="0" borderId="4" xfId="0" applyFont="1" applyBorder="1"/>
    <xf numFmtId="168" fontId="25" fillId="12" borderId="4" xfId="3" applyNumberFormat="1" applyFont="1" applyFill="1" applyBorder="1" applyAlignment="1">
      <alignment horizontal="center"/>
    </xf>
    <xf numFmtId="0" fontId="32" fillId="0" borderId="4" xfId="0" applyFont="1" applyBorder="1"/>
    <xf numFmtId="0" fontId="32" fillId="0" borderId="4" xfId="0" applyFont="1" applyFill="1" applyBorder="1"/>
    <xf numFmtId="1" fontId="33" fillId="0" borderId="4" xfId="0" applyNumberFormat="1" applyFont="1" applyBorder="1" applyAlignment="1">
      <alignment horizontal="left"/>
    </xf>
    <xf numFmtId="1" fontId="33" fillId="0" borderId="4" xfId="0" applyNumberFormat="1" applyFont="1" applyFill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28" fillId="0" borderId="4" xfId="0" applyFont="1" applyBorder="1"/>
    <xf numFmtId="0" fontId="28" fillId="0" borderId="4" xfId="0" applyFont="1" applyFill="1" applyBorder="1"/>
    <xf numFmtId="0" fontId="34" fillId="0" borderId="4" xfId="0" applyFont="1" applyBorder="1"/>
    <xf numFmtId="1" fontId="17" fillId="0" borderId="5" xfId="3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24" fillId="0" borderId="5" xfId="3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5" xfId="6" applyFont="1" applyBorder="1" applyAlignment="1">
      <alignment horizontal="center"/>
    </xf>
    <xf numFmtId="0" fontId="6" fillId="0" borderId="6" xfId="6" applyFont="1" applyBorder="1" applyAlignment="1">
      <alignment horizontal="center"/>
    </xf>
    <xf numFmtId="0" fontId="6" fillId="0" borderId="7" xfId="6" applyFont="1" applyBorder="1" applyAlignment="1">
      <alignment horizontal="center"/>
    </xf>
    <xf numFmtId="0" fontId="7" fillId="0" borderId="6" xfId="6" applyFont="1" applyBorder="1" applyAlignment="1">
      <alignment horizontal="center"/>
    </xf>
    <xf numFmtId="0" fontId="7" fillId="0" borderId="6" xfId="6" applyFont="1" applyBorder="1" applyAlignment="1"/>
    <xf numFmtId="0" fontId="0" fillId="0" borderId="6" xfId="0" applyBorder="1" applyAlignment="1"/>
    <xf numFmtId="0" fontId="0" fillId="0" borderId="7" xfId="0" applyBorder="1" applyAlignment="1"/>
    <xf numFmtId="0" fontId="7" fillId="0" borderId="7" xfId="6" applyFont="1" applyBorder="1" applyAlignment="1">
      <alignment horizontal="center"/>
    </xf>
    <xf numFmtId="0" fontId="7" fillId="0" borderId="7" xfId="6" applyFont="1" applyBorder="1" applyAlignment="1"/>
    <xf numFmtId="0" fontId="4" fillId="0" borderId="3" xfId="0" applyFont="1" applyBorder="1" applyAlignment="1"/>
  </cellXfs>
  <cellStyles count="18">
    <cellStyle name="60% - Accent2" xfId="1" builtinId="36"/>
    <cellStyle name="Bad" xfId="2" builtinId="27"/>
    <cellStyle name="Comma" xfId="3" builtinId="3"/>
    <cellStyle name="Comma 2" xfId="4" xr:uid="{00000000-0005-0000-0000-000003000000}"/>
    <cellStyle name="Comma 2 2" xfId="12" xr:uid="{00000000-0005-0000-0000-000004000000}"/>
    <cellStyle name="Comma 3" xfId="5" xr:uid="{00000000-0005-0000-0000-000005000000}"/>
    <cellStyle name="Comma 3 2" xfId="13" xr:uid="{00000000-0005-0000-0000-000006000000}"/>
    <cellStyle name="Normal" xfId="0" builtinId="0"/>
    <cellStyle name="Normal 2" xfId="6" xr:uid="{00000000-0005-0000-0000-000008000000}"/>
    <cellStyle name="Normal 2 2" xfId="14" xr:uid="{00000000-0005-0000-0000-000009000000}"/>
    <cellStyle name="Normal 3" xfId="7" xr:uid="{00000000-0005-0000-0000-00000A000000}"/>
    <cellStyle name="Normal 3 2" xfId="15" xr:uid="{00000000-0005-0000-0000-00000B000000}"/>
    <cellStyle name="Normal 4" xfId="8" xr:uid="{00000000-0005-0000-0000-00000C000000}"/>
    <cellStyle name="Normal 4 2" xfId="16" xr:uid="{00000000-0005-0000-0000-00000D000000}"/>
    <cellStyle name="Normal 5" xfId="9" xr:uid="{00000000-0005-0000-0000-00000E000000}"/>
    <cellStyle name="Normal 5 2" xfId="17" xr:uid="{00000000-0005-0000-0000-00000F000000}"/>
    <cellStyle name="Normal 6" xfId="10" xr:uid="{00000000-0005-0000-0000-000010000000}"/>
    <cellStyle name="Normal 7" xfId="11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n-US" b="1"/>
              <a:t>2008-2019</a:t>
            </a:r>
            <a:endParaRPr lang="en-US" b="1" baseline="0"/>
          </a:p>
        </c:rich>
      </c:tx>
      <c:layout>
        <c:manualLayout>
          <c:xMode val="edge"/>
          <c:yMode val="edge"/>
          <c:x val="0.45713820486765477"/>
          <c:y val="4.385964912280701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401098901098901"/>
          <c:y val="3.0379746835443037E-2"/>
          <c:w val="0.86538461538461542"/>
          <c:h val="0.784810126582278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Yearly_Adult_average!$D$1</c:f>
              <c:strCache>
                <c:ptCount val="1"/>
                <c:pt idx="0">
                  <c:v>2008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Yearly_Adult_average!$D$2:$D$12</c:f>
              <c:numCache>
                <c:formatCode>0</c:formatCode>
                <c:ptCount val="11"/>
                <c:pt idx="0">
                  <c:v>28.833333333333332</c:v>
                </c:pt>
                <c:pt idx="1">
                  <c:v>24.5</c:v>
                </c:pt>
                <c:pt idx="2">
                  <c:v>22.166666666666668</c:v>
                </c:pt>
                <c:pt idx="3">
                  <c:v>27.333333333333332</c:v>
                </c:pt>
                <c:pt idx="4">
                  <c:v>8</c:v>
                </c:pt>
                <c:pt idx="5">
                  <c:v>16.166666666666668</c:v>
                </c:pt>
                <c:pt idx="6">
                  <c:v>29.5</c:v>
                </c:pt>
                <c:pt idx="7">
                  <c:v>4</c:v>
                </c:pt>
                <c:pt idx="8">
                  <c:v>9.3333333333333339</c:v>
                </c:pt>
                <c:pt idx="9">
                  <c:v>15.666666666666666</c:v>
                </c:pt>
                <c:pt idx="10">
                  <c:v>89.166666666666671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AD-D344-A470-DCCB3A5C8188}"/>
            </c:ext>
          </c:extLst>
        </c:ser>
        <c:ser>
          <c:idx val="1"/>
          <c:order val="1"/>
          <c:tx>
            <c:strRef>
              <c:f>Yearly_Adult_average!$E$1</c:f>
              <c:strCache>
                <c:ptCount val="1"/>
                <c:pt idx="0">
                  <c:v>2009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Yearly_Adult_average!$E$2:$E$12</c:f>
              <c:numCache>
                <c:formatCode>0</c:formatCode>
                <c:ptCount val="11"/>
                <c:pt idx="0">
                  <c:v>30.333333333333332</c:v>
                </c:pt>
                <c:pt idx="1">
                  <c:v>55</c:v>
                </c:pt>
                <c:pt idx="2">
                  <c:v>75.333333333333329</c:v>
                </c:pt>
                <c:pt idx="3">
                  <c:v>30</c:v>
                </c:pt>
                <c:pt idx="4">
                  <c:v>6</c:v>
                </c:pt>
                <c:pt idx="5">
                  <c:v>30.5</c:v>
                </c:pt>
                <c:pt idx="6">
                  <c:v>60.166666666666664</c:v>
                </c:pt>
                <c:pt idx="7">
                  <c:v>80.5</c:v>
                </c:pt>
                <c:pt idx="8">
                  <c:v>29.5</c:v>
                </c:pt>
                <c:pt idx="9">
                  <c:v>130.19999999999999</c:v>
                </c:pt>
                <c:pt idx="10">
                  <c:v>237.2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AD-D344-A470-DCCB3A5C8188}"/>
            </c:ext>
          </c:extLst>
        </c:ser>
        <c:ser>
          <c:idx val="2"/>
          <c:order val="2"/>
          <c:tx>
            <c:strRef>
              <c:f>Yearly_Adult_average!$F$1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Yearly_Adult_average!$F$2:$F$12</c:f>
              <c:numCache>
                <c:formatCode>0</c:formatCode>
                <c:ptCount val="11"/>
                <c:pt idx="0">
                  <c:v>221.33333333333334</c:v>
                </c:pt>
                <c:pt idx="1">
                  <c:v>550.5</c:v>
                </c:pt>
                <c:pt idx="2">
                  <c:v>383.5</c:v>
                </c:pt>
                <c:pt idx="3">
                  <c:v>196.2</c:v>
                </c:pt>
                <c:pt idx="4">
                  <c:v>259</c:v>
                </c:pt>
                <c:pt idx="5">
                  <c:v>312.5</c:v>
                </c:pt>
                <c:pt idx="6">
                  <c:v>371.66666666666669</c:v>
                </c:pt>
                <c:pt idx="7">
                  <c:v>302.5</c:v>
                </c:pt>
                <c:pt idx="8">
                  <c:v>318.39999999999998</c:v>
                </c:pt>
                <c:pt idx="9">
                  <c:v>431.16666666666669</c:v>
                </c:pt>
                <c:pt idx="10">
                  <c:v>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AD-D344-A470-DCCB3A5C8188}"/>
            </c:ext>
          </c:extLst>
        </c:ser>
        <c:ser>
          <c:idx val="3"/>
          <c:order val="3"/>
          <c:tx>
            <c:strRef>
              <c:f>Yearly_Adult_average!$G$1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Yearly_Adult_average!$G$2:$G$12</c:f>
              <c:numCache>
                <c:formatCode>0</c:formatCode>
                <c:ptCount val="11"/>
                <c:pt idx="0">
                  <c:v>328.33333333333331</c:v>
                </c:pt>
                <c:pt idx="1">
                  <c:v>634.5</c:v>
                </c:pt>
                <c:pt idx="2">
                  <c:v>283.66666666666669</c:v>
                </c:pt>
                <c:pt idx="4">
                  <c:v>227.83333333333334</c:v>
                </c:pt>
                <c:pt idx="5">
                  <c:v>372.66666666666669</c:v>
                </c:pt>
                <c:pt idx="6">
                  <c:v>1135.1666666666667</c:v>
                </c:pt>
                <c:pt idx="7">
                  <c:v>689</c:v>
                </c:pt>
                <c:pt idx="8">
                  <c:v>769</c:v>
                </c:pt>
                <c:pt idx="9">
                  <c:v>1274.3333333333333</c:v>
                </c:pt>
                <c:pt idx="10">
                  <c:v>1532.6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AD-D344-A470-DCCB3A5C8188}"/>
            </c:ext>
          </c:extLst>
        </c:ser>
        <c:ser>
          <c:idx val="4"/>
          <c:order val="4"/>
          <c:tx>
            <c:strRef>
              <c:f>Yearly_Adult_average!$H$1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Yearly_Adult_average!$H$2:$H$12</c:f>
              <c:numCache>
                <c:formatCode>0</c:formatCode>
                <c:ptCount val="11"/>
                <c:pt idx="0">
                  <c:v>222.16666666666666</c:v>
                </c:pt>
                <c:pt idx="1">
                  <c:v>557.33333333333337</c:v>
                </c:pt>
                <c:pt idx="2">
                  <c:v>390.33333333333331</c:v>
                </c:pt>
                <c:pt idx="3">
                  <c:v>200.83333333333334</c:v>
                </c:pt>
                <c:pt idx="4">
                  <c:v>280.83333333333331</c:v>
                </c:pt>
                <c:pt idx="5">
                  <c:v>517.83333333333337</c:v>
                </c:pt>
                <c:pt idx="6">
                  <c:v>743.16666666666663</c:v>
                </c:pt>
                <c:pt idx="7">
                  <c:v>597</c:v>
                </c:pt>
                <c:pt idx="8">
                  <c:v>644.66666666666663</c:v>
                </c:pt>
                <c:pt idx="9">
                  <c:v>865.16666666666663</c:v>
                </c:pt>
                <c:pt idx="10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AD-D344-A470-DCCB3A5C8188}"/>
            </c:ext>
          </c:extLst>
        </c:ser>
        <c:ser>
          <c:idx val="5"/>
          <c:order val="5"/>
          <c:tx>
            <c:strRef>
              <c:f>Yearly_Adult_average!$I$1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Yearly_Adult_average!$I$2:$I$12</c:f>
              <c:numCache>
                <c:formatCode>0</c:formatCode>
                <c:ptCount val="11"/>
                <c:pt idx="0">
                  <c:v>39.666666666666664</c:v>
                </c:pt>
                <c:pt idx="1">
                  <c:v>170.5</c:v>
                </c:pt>
                <c:pt idx="2">
                  <c:v>109.66666666666667</c:v>
                </c:pt>
                <c:pt idx="3">
                  <c:v>36</c:v>
                </c:pt>
                <c:pt idx="4">
                  <c:v>104.83333333333333</c:v>
                </c:pt>
                <c:pt idx="5">
                  <c:v>65.666666666666671</c:v>
                </c:pt>
                <c:pt idx="6">
                  <c:v>85.5</c:v>
                </c:pt>
                <c:pt idx="7">
                  <c:v>137.33333333333334</c:v>
                </c:pt>
                <c:pt idx="8">
                  <c:v>37.666666666666664</c:v>
                </c:pt>
                <c:pt idx="9">
                  <c:v>12.666666666666666</c:v>
                </c:pt>
                <c:pt idx="10">
                  <c:v>83.166666666666671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AD-D344-A470-DCCB3A5C8188}"/>
            </c:ext>
          </c:extLst>
        </c:ser>
        <c:ser>
          <c:idx val="6"/>
          <c:order val="6"/>
          <c:tx>
            <c:strRef>
              <c:f>Yearly_Adult_average!$J$1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Yearly_Adult_average!$J$2:$J$12</c:f>
              <c:numCache>
                <c:formatCode>0</c:formatCode>
                <c:ptCount val="11"/>
                <c:pt idx="0">
                  <c:v>20.5</c:v>
                </c:pt>
                <c:pt idx="1">
                  <c:v>23</c:v>
                </c:pt>
                <c:pt idx="2">
                  <c:v>22.666666666666668</c:v>
                </c:pt>
                <c:pt idx="3">
                  <c:v>4</c:v>
                </c:pt>
                <c:pt idx="4">
                  <c:v>31.2</c:v>
                </c:pt>
                <c:pt idx="5">
                  <c:v>6.833333333333333</c:v>
                </c:pt>
                <c:pt idx="6">
                  <c:v>23.6</c:v>
                </c:pt>
                <c:pt idx="7">
                  <c:v>23.166666666666668</c:v>
                </c:pt>
                <c:pt idx="8">
                  <c:v>1.8333333333333333</c:v>
                </c:pt>
                <c:pt idx="9">
                  <c:v>5.5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AD-D344-A470-DCCB3A5C8188}"/>
            </c:ext>
          </c:extLst>
        </c:ser>
        <c:ser>
          <c:idx val="7"/>
          <c:order val="7"/>
          <c:tx>
            <c:strRef>
              <c:f>Yearly_Adult_average!$K$1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Yearly_Adult_average!$K$2:$K$12</c:f>
              <c:numCache>
                <c:formatCode>0</c:formatCode>
                <c:ptCount val="11"/>
                <c:pt idx="0">
                  <c:v>2</c:v>
                </c:pt>
                <c:pt idx="1">
                  <c:v>10.833333333333334</c:v>
                </c:pt>
                <c:pt idx="2">
                  <c:v>19.2</c:v>
                </c:pt>
                <c:pt idx="3">
                  <c:v>2.8333333333333335</c:v>
                </c:pt>
                <c:pt idx="4">
                  <c:v>2.6666666666666665</c:v>
                </c:pt>
                <c:pt idx="5">
                  <c:v>5</c:v>
                </c:pt>
                <c:pt idx="6">
                  <c:v>8.8000000000000007</c:v>
                </c:pt>
                <c:pt idx="7">
                  <c:v>2</c:v>
                </c:pt>
                <c:pt idx="8">
                  <c:v>2.4</c:v>
                </c:pt>
                <c:pt idx="9">
                  <c:v>4.166666666666667</c:v>
                </c:pt>
                <c:pt idx="10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FAD-D344-A470-DCCB3A5C8188}"/>
            </c:ext>
          </c:extLst>
        </c:ser>
        <c:ser>
          <c:idx val="8"/>
          <c:order val="8"/>
          <c:tx>
            <c:strRef>
              <c:f>Yearly_Adult_average!$L$1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Yearly_Adult_average!$L$2:$L$12</c:f>
              <c:numCache>
                <c:formatCode>0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0.6</c:v>
                </c:pt>
                <c:pt idx="3">
                  <c:v>4.8</c:v>
                </c:pt>
                <c:pt idx="4">
                  <c:v>2.8</c:v>
                </c:pt>
                <c:pt idx="5">
                  <c:v>2.8</c:v>
                </c:pt>
                <c:pt idx="6">
                  <c:v>8.8000000000000007</c:v>
                </c:pt>
                <c:pt idx="7">
                  <c:v>2.5</c:v>
                </c:pt>
                <c:pt idx="8">
                  <c:v>1</c:v>
                </c:pt>
                <c:pt idx="9">
                  <c:v>1.7</c:v>
                </c:pt>
                <c:pt idx="1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FAD-D344-A470-DCCB3A5C8188}"/>
            </c:ext>
          </c:extLst>
        </c:ser>
        <c:ser>
          <c:idx val="9"/>
          <c:order val="9"/>
          <c:tx>
            <c:strRef>
              <c:f>Yearly_Adult_average!$M$1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Yearly_Adult_average!$M$2:$M$12</c:f>
              <c:numCache>
                <c:formatCode>0</c:formatCode>
                <c:ptCount val="11"/>
                <c:pt idx="0">
                  <c:v>0</c:v>
                </c:pt>
                <c:pt idx="1">
                  <c:v>49.6</c:v>
                </c:pt>
                <c:pt idx="2">
                  <c:v>18.600000000000001</c:v>
                </c:pt>
                <c:pt idx="3">
                  <c:v>41.166666666666664</c:v>
                </c:pt>
                <c:pt idx="4">
                  <c:v>22.833333333333332</c:v>
                </c:pt>
                <c:pt idx="5">
                  <c:v>15.2</c:v>
                </c:pt>
                <c:pt idx="6">
                  <c:v>8.6</c:v>
                </c:pt>
                <c:pt idx="7">
                  <c:v>42</c:v>
                </c:pt>
                <c:pt idx="8">
                  <c:v>26.166666666666668</c:v>
                </c:pt>
                <c:pt idx="9">
                  <c:v>49.833333333333336</c:v>
                </c:pt>
                <c:pt idx="10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FAD-D344-A470-DCCB3A5C8188}"/>
            </c:ext>
          </c:extLst>
        </c:ser>
        <c:ser>
          <c:idx val="10"/>
          <c:order val="10"/>
          <c:tx>
            <c:strRef>
              <c:f>Yearly_Adult_average!$N$1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Yearly_Adult_average!$N$2:$N$12</c:f>
              <c:numCache>
                <c:formatCode>0</c:formatCode>
                <c:ptCount val="11"/>
                <c:pt idx="0">
                  <c:v>72</c:v>
                </c:pt>
                <c:pt idx="1">
                  <c:v>97</c:v>
                </c:pt>
                <c:pt idx="2">
                  <c:v>98</c:v>
                </c:pt>
                <c:pt idx="3">
                  <c:v>0</c:v>
                </c:pt>
                <c:pt idx="4">
                  <c:v>86</c:v>
                </c:pt>
                <c:pt idx="5">
                  <c:v>8</c:v>
                </c:pt>
                <c:pt idx="6">
                  <c:v>35</c:v>
                </c:pt>
                <c:pt idx="7">
                  <c:v>55</c:v>
                </c:pt>
                <c:pt idx="8">
                  <c:v>55</c:v>
                </c:pt>
                <c:pt idx="9">
                  <c:v>25</c:v>
                </c:pt>
                <c:pt idx="10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AD-D344-A470-DCCB3A5C8188}"/>
            </c:ext>
          </c:extLst>
        </c:ser>
        <c:ser>
          <c:idx val="11"/>
          <c:order val="11"/>
          <c:tx>
            <c:strRef>
              <c:f>Yearly_Adult_average!$O$1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Yearly_Adult_average!$O$2:$O$12</c:f>
              <c:numCache>
                <c:formatCode>General</c:formatCode>
                <c:ptCount val="11"/>
                <c:pt idx="0">
                  <c:v>235</c:v>
                </c:pt>
                <c:pt idx="1">
                  <c:v>658</c:v>
                </c:pt>
                <c:pt idx="2">
                  <c:v>56</c:v>
                </c:pt>
                <c:pt idx="4">
                  <c:v>33</c:v>
                </c:pt>
                <c:pt idx="5">
                  <c:v>257</c:v>
                </c:pt>
                <c:pt idx="6">
                  <c:v>246</c:v>
                </c:pt>
                <c:pt idx="7">
                  <c:v>257</c:v>
                </c:pt>
                <c:pt idx="8">
                  <c:v>88</c:v>
                </c:pt>
                <c:pt idx="9">
                  <c:v>342</c:v>
                </c:pt>
                <c:pt idx="10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7CF-C449-908C-0CDE6DC0A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3"/>
        <c:axId val="37758080"/>
        <c:axId val="37759616"/>
      </c:barChart>
      <c:catAx>
        <c:axId val="3775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7759616"/>
        <c:crosses val="autoZero"/>
        <c:auto val="1"/>
        <c:lblAlgn val="ctr"/>
        <c:lblOffset val="100"/>
        <c:noMultiLvlLbl val="0"/>
      </c:catAx>
      <c:valAx>
        <c:axId val="37759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Average # of Moths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77580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0704520732520715"/>
          <c:y val="0.12027665317139"/>
          <c:w val="0.58875210951104107"/>
          <c:h val="5.7751548768954497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n-US" b="1"/>
              <a:t>Since Last Oubreak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401098901098901"/>
          <c:y val="3.0379746835443037E-2"/>
          <c:w val="0.86538461538461542"/>
          <c:h val="0.78481012658227844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Yearly_Adult_average!$I$1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Yearly_Adult_average!$I$2:$I$12</c:f>
              <c:numCache>
                <c:formatCode>0</c:formatCode>
                <c:ptCount val="11"/>
                <c:pt idx="0">
                  <c:v>39.666666666666664</c:v>
                </c:pt>
                <c:pt idx="1">
                  <c:v>170.5</c:v>
                </c:pt>
                <c:pt idx="2">
                  <c:v>109.66666666666667</c:v>
                </c:pt>
                <c:pt idx="3">
                  <c:v>36</c:v>
                </c:pt>
                <c:pt idx="4">
                  <c:v>104.83333333333333</c:v>
                </c:pt>
                <c:pt idx="5">
                  <c:v>65.666666666666671</c:v>
                </c:pt>
                <c:pt idx="6">
                  <c:v>85.5</c:v>
                </c:pt>
                <c:pt idx="7">
                  <c:v>137.33333333333334</c:v>
                </c:pt>
                <c:pt idx="8">
                  <c:v>37.666666666666664</c:v>
                </c:pt>
                <c:pt idx="9">
                  <c:v>12.666666666666666</c:v>
                </c:pt>
                <c:pt idx="10">
                  <c:v>83.166666666666671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51-1F46-A304-27FE160C89B7}"/>
            </c:ext>
          </c:extLst>
        </c:ser>
        <c:ser>
          <c:idx val="6"/>
          <c:order val="1"/>
          <c:tx>
            <c:strRef>
              <c:f>Yearly_Adult_average!$J$1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Yearly_Adult_average!$J$2:$J$12</c:f>
              <c:numCache>
                <c:formatCode>0</c:formatCode>
                <c:ptCount val="11"/>
                <c:pt idx="0">
                  <c:v>20.5</c:v>
                </c:pt>
                <c:pt idx="1">
                  <c:v>23</c:v>
                </c:pt>
                <c:pt idx="2">
                  <c:v>22.666666666666668</c:v>
                </c:pt>
                <c:pt idx="3">
                  <c:v>4</c:v>
                </c:pt>
                <c:pt idx="4">
                  <c:v>31.2</c:v>
                </c:pt>
                <c:pt idx="5">
                  <c:v>6.833333333333333</c:v>
                </c:pt>
                <c:pt idx="6">
                  <c:v>23.6</c:v>
                </c:pt>
                <c:pt idx="7">
                  <c:v>23.166666666666668</c:v>
                </c:pt>
                <c:pt idx="8">
                  <c:v>1.8333333333333333</c:v>
                </c:pt>
                <c:pt idx="9">
                  <c:v>5.5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51-1F46-A304-27FE160C89B7}"/>
            </c:ext>
          </c:extLst>
        </c:ser>
        <c:ser>
          <c:idx val="7"/>
          <c:order val="2"/>
          <c:tx>
            <c:strRef>
              <c:f>Yearly_Adult_average!$K$1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Yearly_Adult_average!$K$2:$K$12</c:f>
              <c:numCache>
                <c:formatCode>0</c:formatCode>
                <c:ptCount val="11"/>
                <c:pt idx="0">
                  <c:v>2</c:v>
                </c:pt>
                <c:pt idx="1">
                  <c:v>10.833333333333334</c:v>
                </c:pt>
                <c:pt idx="2">
                  <c:v>19.2</c:v>
                </c:pt>
                <c:pt idx="3">
                  <c:v>2.8333333333333335</c:v>
                </c:pt>
                <c:pt idx="4">
                  <c:v>2.6666666666666665</c:v>
                </c:pt>
                <c:pt idx="5">
                  <c:v>5</c:v>
                </c:pt>
                <c:pt idx="6">
                  <c:v>8.8000000000000007</c:v>
                </c:pt>
                <c:pt idx="7">
                  <c:v>2</c:v>
                </c:pt>
                <c:pt idx="8">
                  <c:v>2.4</c:v>
                </c:pt>
                <c:pt idx="9">
                  <c:v>4.166666666666667</c:v>
                </c:pt>
                <c:pt idx="10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51-1F46-A304-27FE160C89B7}"/>
            </c:ext>
          </c:extLst>
        </c:ser>
        <c:ser>
          <c:idx val="8"/>
          <c:order val="3"/>
          <c:tx>
            <c:strRef>
              <c:f>Yearly_Adult_average!$L$1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Yearly_Adult_average!$L$2:$L$12</c:f>
              <c:numCache>
                <c:formatCode>0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0.6</c:v>
                </c:pt>
                <c:pt idx="3">
                  <c:v>4.8</c:v>
                </c:pt>
                <c:pt idx="4">
                  <c:v>2.8</c:v>
                </c:pt>
                <c:pt idx="5">
                  <c:v>2.8</c:v>
                </c:pt>
                <c:pt idx="6">
                  <c:v>8.8000000000000007</c:v>
                </c:pt>
                <c:pt idx="7">
                  <c:v>2.5</c:v>
                </c:pt>
                <c:pt idx="8">
                  <c:v>1</c:v>
                </c:pt>
                <c:pt idx="9">
                  <c:v>1.7</c:v>
                </c:pt>
                <c:pt idx="1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51-1F46-A304-27FE160C89B7}"/>
            </c:ext>
          </c:extLst>
        </c:ser>
        <c:ser>
          <c:idx val="9"/>
          <c:order val="4"/>
          <c:tx>
            <c:strRef>
              <c:f>Yearly_Adult_average!$M$1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Yearly_Adult_average!$M$2:$M$12</c:f>
              <c:numCache>
                <c:formatCode>0</c:formatCode>
                <c:ptCount val="11"/>
                <c:pt idx="0">
                  <c:v>0</c:v>
                </c:pt>
                <c:pt idx="1">
                  <c:v>49.6</c:v>
                </c:pt>
                <c:pt idx="2">
                  <c:v>18.600000000000001</c:v>
                </c:pt>
                <c:pt idx="3">
                  <c:v>41.166666666666664</c:v>
                </c:pt>
                <c:pt idx="4">
                  <c:v>22.833333333333332</c:v>
                </c:pt>
                <c:pt idx="5">
                  <c:v>15.2</c:v>
                </c:pt>
                <c:pt idx="6">
                  <c:v>8.6</c:v>
                </c:pt>
                <c:pt idx="7">
                  <c:v>42</c:v>
                </c:pt>
                <c:pt idx="8">
                  <c:v>26.166666666666668</c:v>
                </c:pt>
                <c:pt idx="9">
                  <c:v>49.833333333333336</c:v>
                </c:pt>
                <c:pt idx="10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51-1F46-A304-27FE160C89B7}"/>
            </c:ext>
          </c:extLst>
        </c:ser>
        <c:ser>
          <c:idx val="10"/>
          <c:order val="5"/>
          <c:tx>
            <c:strRef>
              <c:f>Yearly_Adult_average!$N$1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Yearly_Adult_average!$N$2:$N$12</c:f>
              <c:numCache>
                <c:formatCode>0</c:formatCode>
                <c:ptCount val="11"/>
                <c:pt idx="0">
                  <c:v>72</c:v>
                </c:pt>
                <c:pt idx="1">
                  <c:v>97</c:v>
                </c:pt>
                <c:pt idx="2">
                  <c:v>98</c:v>
                </c:pt>
                <c:pt idx="3">
                  <c:v>0</c:v>
                </c:pt>
                <c:pt idx="4">
                  <c:v>86</c:v>
                </c:pt>
                <c:pt idx="5">
                  <c:v>8</c:v>
                </c:pt>
                <c:pt idx="6">
                  <c:v>35</c:v>
                </c:pt>
                <c:pt idx="7">
                  <c:v>55</c:v>
                </c:pt>
                <c:pt idx="8">
                  <c:v>55</c:v>
                </c:pt>
                <c:pt idx="9">
                  <c:v>25</c:v>
                </c:pt>
                <c:pt idx="10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51-1F46-A304-27FE160C89B7}"/>
            </c:ext>
          </c:extLst>
        </c:ser>
        <c:ser>
          <c:idx val="11"/>
          <c:order val="6"/>
          <c:tx>
            <c:strRef>
              <c:f>Yearly_Adult_average!$O$1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numRef>
              <c:f>Yearly_Adult_average!$A$2:$A$12</c:f>
              <c:numCache>
                <c:formatCode>General</c:formatCode>
                <c:ptCount val="11"/>
                <c:pt idx="0">
                  <c:v>66</c:v>
                </c:pt>
                <c:pt idx="1">
                  <c:v>83</c:v>
                </c:pt>
                <c:pt idx="2">
                  <c:v>72</c:v>
                </c:pt>
                <c:pt idx="3">
                  <c:v>87</c:v>
                </c:pt>
                <c:pt idx="4">
                  <c:v>73</c:v>
                </c:pt>
                <c:pt idx="5">
                  <c:v>78</c:v>
                </c:pt>
                <c:pt idx="6">
                  <c:v>75</c:v>
                </c:pt>
                <c:pt idx="7">
                  <c:v>74</c:v>
                </c:pt>
                <c:pt idx="8">
                  <c:v>76</c:v>
                </c:pt>
                <c:pt idx="9">
                  <c:v>84</c:v>
                </c:pt>
                <c:pt idx="10">
                  <c:v>85</c:v>
                </c:pt>
              </c:numCache>
            </c:numRef>
          </c:cat>
          <c:val>
            <c:numRef>
              <c:f>Yearly_Adult_average!$O$2:$O$12</c:f>
              <c:numCache>
                <c:formatCode>General</c:formatCode>
                <c:ptCount val="11"/>
                <c:pt idx="0">
                  <c:v>235</c:v>
                </c:pt>
                <c:pt idx="1">
                  <c:v>658</c:v>
                </c:pt>
                <c:pt idx="2">
                  <c:v>56</c:v>
                </c:pt>
                <c:pt idx="4">
                  <c:v>33</c:v>
                </c:pt>
                <c:pt idx="5">
                  <c:v>257</c:v>
                </c:pt>
                <c:pt idx="6">
                  <c:v>246</c:v>
                </c:pt>
                <c:pt idx="7">
                  <c:v>257</c:v>
                </c:pt>
                <c:pt idx="8">
                  <c:v>88</c:v>
                </c:pt>
                <c:pt idx="9">
                  <c:v>342</c:v>
                </c:pt>
                <c:pt idx="10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951-1F46-A304-27FE160C8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3"/>
        <c:axId val="37804672"/>
        <c:axId val="172822912"/>
      </c:barChart>
      <c:catAx>
        <c:axId val="3780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822912"/>
        <c:crosses val="autoZero"/>
        <c:auto val="1"/>
        <c:lblAlgn val="ctr"/>
        <c:lblOffset val="100"/>
        <c:noMultiLvlLbl val="0"/>
      </c:catAx>
      <c:valAx>
        <c:axId val="172822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Average # of Moths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78046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Keen Creek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LarvalTrends!$D$2:$U$2</c:f>
              <c:numCache>
                <c:formatCode>General</c:formatCode>
                <c:ptCount val="18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7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2-8847-B157-FFC1ED17FBDA}"/>
            </c:ext>
          </c:extLst>
        </c:ser>
        <c:ser>
          <c:idx val="1"/>
          <c:order val="1"/>
          <c:tx>
            <c:v>Hills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LarvalTrends!$D$3:$U$3</c:f>
              <c:numCache>
                <c:formatCode>General</c:formatCode>
                <c:ptCount val="18"/>
                <c:pt idx="0">
                  <c:v>0</c:v>
                </c:pt>
                <c:pt idx="1">
                  <c:v>4</c:v>
                </c:pt>
                <c:pt idx="2">
                  <c:v>21</c:v>
                </c:pt>
                <c:pt idx="3">
                  <c:v>31</c:v>
                </c:pt>
                <c:pt idx="4" formatCode="0">
                  <c:v>0</c:v>
                </c:pt>
                <c:pt idx="5">
                  <c:v>0</c:v>
                </c:pt>
                <c:pt idx="6">
                  <c:v>8.5714285714285712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2-8847-B157-FFC1ED17FBDA}"/>
            </c:ext>
          </c:extLst>
        </c:ser>
        <c:ser>
          <c:idx val="2"/>
          <c:order val="2"/>
          <c:tx>
            <c:v>Halfway R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LarvalTrends!$D$4:$U$4</c:f>
              <c:numCache>
                <c:formatCode>General</c:formatCode>
                <c:ptCount val="18"/>
                <c:pt idx="0">
                  <c:v>1</c:v>
                </c:pt>
                <c:pt idx="1">
                  <c:v>17</c:v>
                </c:pt>
                <c:pt idx="2">
                  <c:v>62</c:v>
                </c:pt>
                <c:pt idx="3">
                  <c:v>46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F2-8847-B157-FFC1ED17FBDA}"/>
            </c:ext>
          </c:extLst>
        </c:ser>
        <c:ser>
          <c:idx val="3"/>
          <c:order val="3"/>
          <c:tx>
            <c:v>Box Lk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LarvalTrends!$D$5:$U$5</c:f>
              <c:numCache>
                <c:formatCode>General</c:formatCode>
                <c:ptCount val="18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9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F2-8847-B157-FFC1ED17FBDA}"/>
            </c:ext>
          </c:extLst>
        </c:ser>
        <c:ser>
          <c:idx val="4"/>
          <c:order val="4"/>
          <c:tx>
            <c:v>Kuskanax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LarvalTrends!$D$6:$U$6</c:f>
              <c:numCache>
                <c:formatCode>General</c:formatCode>
                <c:ptCount val="18"/>
                <c:pt idx="0">
                  <c:v>1</c:v>
                </c:pt>
                <c:pt idx="1">
                  <c:v>10</c:v>
                </c:pt>
                <c:pt idx="2">
                  <c:v>83</c:v>
                </c:pt>
                <c:pt idx="3">
                  <c:v>313</c:v>
                </c:pt>
                <c:pt idx="4" formatCode="0">
                  <c:v>2.8571428571428572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7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F2-8847-B157-FFC1ED17FBDA}"/>
            </c:ext>
          </c:extLst>
        </c:ser>
        <c:ser>
          <c:idx val="5"/>
          <c:order val="5"/>
          <c:tx>
            <c:v>Shelter Bay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LarvalTrends!$D$7:$U$7</c:f>
              <c:numCache>
                <c:formatCode>General</c:formatCode>
                <c:ptCount val="18"/>
                <c:pt idx="0">
                  <c:v>0</c:v>
                </c:pt>
                <c:pt idx="1">
                  <c:v>68</c:v>
                </c:pt>
                <c:pt idx="2">
                  <c:v>879</c:v>
                </c:pt>
                <c:pt idx="3">
                  <c:v>87</c:v>
                </c:pt>
                <c:pt idx="4" formatCode="0">
                  <c:v>2.8571428571428572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3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F2-8847-B157-FFC1ED17FBDA}"/>
            </c:ext>
          </c:extLst>
        </c:ser>
        <c:ser>
          <c:idx val="6"/>
          <c:order val="6"/>
          <c:tx>
            <c:v>Sutherland Falls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LarvalTrends!$D$8:$U$8</c:f>
              <c:numCache>
                <c:formatCode>General</c:formatCode>
                <c:ptCount val="18"/>
                <c:pt idx="0">
                  <c:v>1</c:v>
                </c:pt>
                <c:pt idx="1">
                  <c:v>37</c:v>
                </c:pt>
                <c:pt idx="2">
                  <c:v>67</c:v>
                </c:pt>
                <c:pt idx="3">
                  <c:v>39</c:v>
                </c:pt>
                <c:pt idx="4" formatCode="0">
                  <c:v>31.428571428571431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3</c:v>
                </c:pt>
                <c:pt idx="12">
                  <c:v>12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F2-8847-B157-FFC1ED17FBDA}"/>
            </c:ext>
          </c:extLst>
        </c:ser>
        <c:ser>
          <c:idx val="7"/>
          <c:order val="7"/>
          <c:tx>
            <c:v>Quartz Creek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LarvalTrends!$D$16:$U$16</c:f>
              <c:numCache>
                <c:formatCode>General</c:formatCode>
                <c:ptCount val="18"/>
                <c:pt idx="0">
                  <c:v>0</c:v>
                </c:pt>
                <c:pt idx="1">
                  <c:v>142</c:v>
                </c:pt>
                <c:pt idx="2">
                  <c:v>202</c:v>
                </c:pt>
                <c:pt idx="3">
                  <c:v>59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3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9F2-8847-B157-FFC1ED17FBDA}"/>
            </c:ext>
          </c:extLst>
        </c:ser>
        <c:ser>
          <c:idx val="8"/>
          <c:order val="8"/>
          <c:tx>
            <c:v>Gerrard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LarvalTrends!$D$9:$U$9</c:f>
              <c:numCache>
                <c:formatCode>General</c:formatCode>
                <c:ptCount val="18"/>
                <c:pt idx="0">
                  <c:v>0</c:v>
                </c:pt>
                <c:pt idx="1">
                  <c:v>2</c:v>
                </c:pt>
                <c:pt idx="2">
                  <c:v>47</c:v>
                </c:pt>
                <c:pt idx="3">
                  <c:v>84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9F2-8847-B157-FFC1ED17FBDA}"/>
            </c:ext>
          </c:extLst>
        </c:ser>
        <c:ser>
          <c:idx val="9"/>
          <c:order val="9"/>
          <c:tx>
            <c:v>Trout Lake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LarvalTrends!$D$10:$U$10</c:f>
              <c:numCache>
                <c:formatCode>General</c:formatCode>
                <c:ptCount val="18"/>
                <c:pt idx="0">
                  <c:v>3</c:v>
                </c:pt>
                <c:pt idx="1">
                  <c:v>204</c:v>
                </c:pt>
                <c:pt idx="2">
                  <c:v>544</c:v>
                </c:pt>
                <c:pt idx="3">
                  <c:v>90</c:v>
                </c:pt>
                <c:pt idx="4" formatCode="0">
                  <c:v>2.8571428571428572</c:v>
                </c:pt>
                <c:pt idx="5">
                  <c:v>0</c:v>
                </c:pt>
                <c:pt idx="6">
                  <c:v>2.8571428571428572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45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9F2-8847-B157-FFC1ED17FBDA}"/>
            </c:ext>
          </c:extLst>
        </c:ser>
        <c:ser>
          <c:idx val="10"/>
          <c:order val="10"/>
          <c:tx>
            <c:v>Tangier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LarvalTrends!$D$17:$U$17</c:f>
              <c:numCache>
                <c:formatCode>General</c:formatCode>
                <c:ptCount val="18"/>
                <c:pt idx="0">
                  <c:v>0</c:v>
                </c:pt>
                <c:pt idx="1">
                  <c:v>9</c:v>
                </c:pt>
                <c:pt idx="2">
                  <c:v>9</c:v>
                </c:pt>
                <c:pt idx="3">
                  <c:v>1</c:v>
                </c:pt>
                <c:pt idx="4" formatCode="0">
                  <c:v>102.85714285714286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38</c:v>
                </c:pt>
                <c:pt idx="12">
                  <c:v>46</c:v>
                </c:pt>
                <c:pt idx="13">
                  <c:v>22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9F2-8847-B157-FFC1ED17FBDA}"/>
            </c:ext>
          </c:extLst>
        </c:ser>
        <c:ser>
          <c:idx val="11"/>
          <c:order val="11"/>
          <c:tx>
            <c:v>Martha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LarvalTrends!$D$18:$U$18</c:f>
              <c:numCache>
                <c:formatCode>General</c:formatCode>
                <c:ptCount val="18"/>
                <c:pt idx="0">
                  <c:v>3</c:v>
                </c:pt>
                <c:pt idx="1">
                  <c:v>43</c:v>
                </c:pt>
                <c:pt idx="2">
                  <c:v>13</c:v>
                </c:pt>
                <c:pt idx="3">
                  <c:v>3</c:v>
                </c:pt>
                <c:pt idx="4" formatCode="0">
                  <c:v>97.142857142857153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31</c:v>
                </c:pt>
                <c:pt idx="13">
                  <c:v>21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9F2-8847-B157-FFC1ED17FBDA}"/>
            </c:ext>
          </c:extLst>
        </c:ser>
        <c:ser>
          <c:idx val="12"/>
          <c:order val="12"/>
          <c:tx>
            <c:v>Goldstream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LarvalTrends!$D$19:$U$19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 formatCode="0">
                  <c:v>0</c:v>
                </c:pt>
                <c:pt idx="5">
                  <c:v>2.8571428571428572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27</c:v>
                </c:pt>
                <c:pt idx="12">
                  <c:v>15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9F2-8847-B157-FFC1ED17FBDA}"/>
            </c:ext>
          </c:extLst>
        </c:ser>
        <c:ser>
          <c:idx val="13"/>
          <c:order val="13"/>
          <c:tx>
            <c:v>Downie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LarvalTrends!$D$20:$U$20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19</c:v>
                </c:pt>
                <c:pt idx="13">
                  <c:v>16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9F2-8847-B157-FFC1ED17FBDA}"/>
            </c:ext>
          </c:extLst>
        </c:ser>
        <c:ser>
          <c:idx val="14"/>
          <c:order val="14"/>
          <c:tx>
            <c:v>Bigmouth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LarvalTrends!$D$21:$U$21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">
                  <c:v>2.8571428571428572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5</c:v>
                </c:pt>
                <c:pt idx="11">
                  <c:v>65</c:v>
                </c:pt>
                <c:pt idx="12">
                  <c:v>68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9F2-8847-B157-FFC1ED17FBDA}"/>
            </c:ext>
          </c:extLst>
        </c:ser>
        <c:ser>
          <c:idx val="15"/>
          <c:order val="15"/>
          <c:tx>
            <c:v>Carnes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LarvalTrends!$D$22:$U$22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7</c:v>
                </c:pt>
                <c:pt idx="11">
                  <c:v>14</c:v>
                </c:pt>
                <c:pt idx="12">
                  <c:v>19</c:v>
                </c:pt>
                <c:pt idx="13">
                  <c:v>4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9F2-8847-B157-FFC1ED17FBDA}"/>
            </c:ext>
          </c:extLst>
        </c:ser>
        <c:ser>
          <c:idx val="16"/>
          <c:order val="16"/>
          <c:tx>
            <c:v>Lardeau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LarvalTrends!$D$11:$U$11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9F2-8847-B157-FFC1ED17FBDA}"/>
            </c:ext>
          </c:extLst>
        </c:ser>
        <c:ser>
          <c:idx val="17"/>
          <c:order val="17"/>
          <c:tx>
            <c:v>Meadow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LarvalTrends!$D$12:$U$12</c:f>
              <c:numCache>
                <c:formatCode>General</c:formatCode>
                <c:ptCount val="18"/>
                <c:pt idx="0">
                  <c:v>0</c:v>
                </c:pt>
                <c:pt idx="1">
                  <c:v>6</c:v>
                </c:pt>
                <c:pt idx="2">
                  <c:v>15</c:v>
                </c:pt>
                <c:pt idx="3">
                  <c:v>47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9F2-8847-B157-FFC1ED17FBDA}"/>
            </c:ext>
          </c:extLst>
        </c:ser>
        <c:ser>
          <c:idx val="18"/>
          <c:order val="18"/>
          <c:tx>
            <c:v>Schroeder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LarvalTrends!$D$13:$U$13</c:f>
              <c:numCache>
                <c:formatCode>General</c:formatCode>
                <c:ptCount val="18"/>
                <c:pt idx="0">
                  <c:v>2</c:v>
                </c:pt>
                <c:pt idx="1">
                  <c:v>5</c:v>
                </c:pt>
                <c:pt idx="2">
                  <c:v>6</c:v>
                </c:pt>
                <c:pt idx="3">
                  <c:v>14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9F2-8847-B157-FFC1ED17FBDA}"/>
            </c:ext>
          </c:extLst>
        </c:ser>
        <c:ser>
          <c:idx val="19"/>
          <c:order val="19"/>
          <c:tx>
            <c:v>Beaton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LarvalTrends!$D$14:$U$14</c:f>
              <c:numCache>
                <c:formatCode>General</c:formatCode>
                <c:ptCount val="18"/>
                <c:pt idx="0">
                  <c:v>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 formatCode="0">
                  <c:v>11.428571428571429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9</c:v>
                </c:pt>
                <c:pt idx="12">
                  <c:v>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9F2-8847-B157-FFC1ED17FBDA}"/>
            </c:ext>
          </c:extLst>
        </c:ser>
        <c:ser>
          <c:idx val="20"/>
          <c:order val="20"/>
          <c:tx>
            <c:v>Begbie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LarvalTrends!$D$23:$U$23</c:f>
              <c:numCache>
                <c:formatCode>General</c:formatCode>
                <c:ptCount val="18"/>
                <c:pt idx="0">
                  <c:v>0</c:v>
                </c:pt>
                <c:pt idx="1">
                  <c:v>8</c:v>
                </c:pt>
                <c:pt idx="2">
                  <c:v>63</c:v>
                </c:pt>
                <c:pt idx="3">
                  <c:v>40</c:v>
                </c:pt>
                <c:pt idx="4" formatCode="0">
                  <c:v>71.428571428571431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32</c:v>
                </c:pt>
                <c:pt idx="12">
                  <c:v>17</c:v>
                </c:pt>
                <c:pt idx="13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79F2-8847-B157-FFC1ED17FBDA}"/>
            </c:ext>
          </c:extLst>
        </c:ser>
        <c:ser>
          <c:idx val="21"/>
          <c:order val="21"/>
          <c:tx>
            <c:v>Pitt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LarvalTrends!$D$24:$U$24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">
                  <c:v>14.285714285714286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105</c:v>
                </c:pt>
                <c:pt idx="12">
                  <c:v>53</c:v>
                </c:pt>
                <c:pt idx="13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9F2-8847-B157-FFC1ED17FBDA}"/>
            </c:ext>
          </c:extLst>
        </c:ser>
        <c:ser>
          <c:idx val="24"/>
          <c:order val="22"/>
          <c:tx>
            <c:v>Jumping Ck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LarvalTrends!$D$27:$U$27</c:f>
              <c:numCache>
                <c:formatCode>General</c:formatCode>
                <c:ptCount val="18"/>
                <c:pt idx="0">
                  <c:v>1</c:v>
                </c:pt>
                <c:pt idx="1">
                  <c:v>7</c:v>
                </c:pt>
                <c:pt idx="2">
                  <c:v>2</c:v>
                </c:pt>
                <c:pt idx="3">
                  <c:v>19</c:v>
                </c:pt>
                <c:pt idx="4" formatCode="0">
                  <c:v>65.714285714285722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3</c:v>
                </c:pt>
                <c:pt idx="12">
                  <c:v>72</c:v>
                </c:pt>
                <c:pt idx="13">
                  <c:v>22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9F2-8847-B157-FFC1ED17FBDA}"/>
            </c:ext>
          </c:extLst>
        </c:ser>
        <c:ser>
          <c:idx val="22"/>
          <c:order val="23"/>
          <c:tx>
            <c:v>Kinbasket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LarvalTrends!$D$25:$U$25</c:f>
              <c:numCache>
                <c:formatCode>General</c:formatCode>
                <c:ptCount val="18"/>
                <c:pt idx="0">
                  <c:v>2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 formatCode="0">
                  <c:v>2.8571428571428572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5</c:v>
                </c:pt>
                <c:pt idx="11">
                  <c:v>72</c:v>
                </c:pt>
                <c:pt idx="12">
                  <c:v>11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79F2-8847-B157-FFC1ED17FBDA}"/>
            </c:ext>
          </c:extLst>
        </c:ser>
        <c:ser>
          <c:idx val="23"/>
          <c:order val="24"/>
          <c:tx>
            <c:v>Beaver R</c:v>
          </c:tx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LarvalTrends!$D$26:$U$26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 formatCode="0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11</c:v>
                </c:pt>
                <c:pt idx="11">
                  <c:v>107</c:v>
                </c:pt>
                <c:pt idx="12">
                  <c:v>79</c:v>
                </c:pt>
                <c:pt idx="13">
                  <c:v>26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9F2-8847-B157-FFC1ED17F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74016"/>
        <c:axId val="38388096"/>
      </c:lineChart>
      <c:catAx>
        <c:axId val="3837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388096"/>
        <c:crosses val="autoZero"/>
        <c:auto val="1"/>
        <c:lblAlgn val="ctr"/>
        <c:lblOffset val="100"/>
        <c:noMultiLvlLbl val="0"/>
      </c:catAx>
      <c:valAx>
        <c:axId val="3838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3740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356254269586165"/>
          <c:y val="6.1870692422440005E-2"/>
          <c:w val="0.10821926796821635"/>
          <c:h val="0.8676277875337524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208518806944"/>
          <c:y val="5.6415242302029323E-2"/>
          <c:w val="0.8244374901855217"/>
          <c:h val="0.81628977018116633"/>
        </c:manualLayout>
      </c:layout>
      <c:lineChart>
        <c:grouping val="standard"/>
        <c:varyColors val="0"/>
        <c:ser>
          <c:idx val="0"/>
          <c:order val="0"/>
          <c:tx>
            <c:v>Revelstoke North and East</c:v>
          </c:tx>
          <c:marker>
            <c:symbol val="none"/>
          </c:marker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LarvalTrends!$D$28:$U$28</c:f>
              <c:numCache>
                <c:formatCode>0.0</c:formatCode>
                <c:ptCount val="18"/>
                <c:pt idx="0">
                  <c:v>0.5</c:v>
                </c:pt>
                <c:pt idx="1">
                  <c:v>18</c:v>
                </c:pt>
                <c:pt idx="2">
                  <c:v>24</c:v>
                </c:pt>
                <c:pt idx="3">
                  <c:v>10</c:v>
                </c:pt>
                <c:pt idx="4">
                  <c:v>29.7</c:v>
                </c:pt>
                <c:pt idx="5">
                  <c:v>0.23</c:v>
                </c:pt>
                <c:pt idx="6">
                  <c:v>0</c:v>
                </c:pt>
                <c:pt idx="7">
                  <c:v>0.1</c:v>
                </c:pt>
                <c:pt idx="8">
                  <c:v>0.42</c:v>
                </c:pt>
                <c:pt idx="9">
                  <c:v>0.83</c:v>
                </c:pt>
                <c:pt idx="10">
                  <c:v>3.75</c:v>
                </c:pt>
                <c:pt idx="11">
                  <c:v>39.5</c:v>
                </c:pt>
                <c:pt idx="12">
                  <c:v>35.916666666666664</c:v>
                </c:pt>
                <c:pt idx="13">
                  <c:v>11.75</c:v>
                </c:pt>
                <c:pt idx="14">
                  <c:v>0.16666666666666666</c:v>
                </c:pt>
                <c:pt idx="15">
                  <c:v>0.16666666666666666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31-DB47-A5C4-5A23FBA5F2D4}"/>
            </c:ext>
          </c:extLst>
        </c:ser>
        <c:ser>
          <c:idx val="1"/>
          <c:order val="1"/>
          <c:tx>
            <c:v>Revelstoke South</c:v>
          </c:tx>
          <c:marker>
            <c:symbol val="none"/>
          </c:marker>
          <c:cat>
            <c:numRef>
              <c:f>LarvalTrends!$D$1:$U$1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LarvalTrends!$D$15:$U$15</c:f>
              <c:numCache>
                <c:formatCode>0.0</c:formatCode>
                <c:ptCount val="18"/>
                <c:pt idx="0">
                  <c:v>0.76923076923076927</c:v>
                </c:pt>
                <c:pt idx="1">
                  <c:v>28</c:v>
                </c:pt>
                <c:pt idx="2">
                  <c:v>133.07692307692307</c:v>
                </c:pt>
                <c:pt idx="3">
                  <c:v>59.153846153846153</c:v>
                </c:pt>
                <c:pt idx="4">
                  <c:v>3.9560439560439562</c:v>
                </c:pt>
                <c:pt idx="5">
                  <c:v>0</c:v>
                </c:pt>
                <c:pt idx="6">
                  <c:v>0.87912087912087911</c:v>
                </c:pt>
                <c:pt idx="7">
                  <c:v>7.6923076923076927E-2</c:v>
                </c:pt>
                <c:pt idx="8">
                  <c:v>0.23076923076923078</c:v>
                </c:pt>
                <c:pt idx="9">
                  <c:v>1.0769230769230769</c:v>
                </c:pt>
                <c:pt idx="10">
                  <c:v>1.0769230769230769</c:v>
                </c:pt>
                <c:pt idx="11">
                  <c:v>5.615384615384615</c:v>
                </c:pt>
                <c:pt idx="12">
                  <c:v>1.8333333333333333</c:v>
                </c:pt>
                <c:pt idx="13">
                  <c:v>0.25</c:v>
                </c:pt>
                <c:pt idx="14">
                  <c:v>8.3333333333333329E-2</c:v>
                </c:pt>
                <c:pt idx="15">
                  <c:v>0</c:v>
                </c:pt>
                <c:pt idx="16">
                  <c:v>7.6923076923076927E-2</c:v>
                </c:pt>
                <c:pt idx="17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31-DB47-A5C4-5A23FBA5F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136256"/>
        <c:axId val="39142144"/>
      </c:lineChart>
      <c:catAx>
        <c:axId val="391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42144"/>
        <c:crosses val="autoZero"/>
        <c:auto val="1"/>
        <c:lblAlgn val="ctr"/>
        <c:lblOffset val="100"/>
        <c:noMultiLvlLbl val="0"/>
      </c:catAx>
      <c:valAx>
        <c:axId val="39142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Average No. of larva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36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5230580151839996"/>
          <c:y val="0.18566784656505089"/>
          <c:w val="0.44510461833296477"/>
          <c:h val="8.8415023236774276E-2"/>
        </c:manualLayout>
      </c:layout>
      <c:overlay val="0"/>
      <c:spPr>
        <a:solidFill>
          <a:schemeClr val="bg1"/>
        </a:solidFill>
        <a:ln w="6350">
          <a:solidFill>
            <a:schemeClr val="tx1"/>
          </a:solidFill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16679281660811"/>
          <c:y val="6.4706596765378627E-2"/>
          <c:w val="0.88010545417727826"/>
          <c:h val="0.813267412910147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Yearly_LarvalAvg!$A$2</c:f>
              <c:strCache>
                <c:ptCount val="1"/>
                <c:pt idx="0">
                  <c:v>Western hemlock looper</c:v>
                </c:pt>
              </c:strCache>
            </c:strRef>
          </c:tx>
          <c:invertIfNegative val="0"/>
          <c:cat>
            <c:numRef>
              <c:f>Yearly_LarvalAvg!$B$1:$P$1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Yearly_LarvalAvg!$B$2:$P$2</c:f>
              <c:numCache>
                <c:formatCode>0.0</c:formatCode>
                <c:ptCount val="15"/>
                <c:pt idx="0">
                  <c:v>0.64</c:v>
                </c:pt>
                <c:pt idx="1">
                  <c:v>23.2</c:v>
                </c:pt>
                <c:pt idx="2">
                  <c:v>80.8</c:v>
                </c:pt>
                <c:pt idx="3">
                  <c:v>35.72</c:v>
                </c:pt>
                <c:pt idx="4">
                  <c:v>16.342857142857142</c:v>
                </c:pt>
                <c:pt idx="5">
                  <c:v>0.1142857142857143</c:v>
                </c:pt>
                <c:pt idx="6">
                  <c:v>0.45714285714285718</c:v>
                </c:pt>
                <c:pt idx="7">
                  <c:v>0.08</c:v>
                </c:pt>
                <c:pt idx="8" formatCode="General">
                  <c:v>0.3</c:v>
                </c:pt>
                <c:pt idx="9" formatCode="General">
                  <c:v>1</c:v>
                </c:pt>
                <c:pt idx="10" formatCode="General">
                  <c:v>2.4</c:v>
                </c:pt>
                <c:pt idx="11" formatCode="General">
                  <c:v>21.9</c:v>
                </c:pt>
                <c:pt idx="12" formatCode="General">
                  <c:v>18.899999999999999</c:v>
                </c:pt>
                <c:pt idx="13" formatCode="General">
                  <c:v>6</c:v>
                </c:pt>
                <c:pt idx="14" formatCode="General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0A-874A-A1C3-C0D3F0E155C9}"/>
            </c:ext>
          </c:extLst>
        </c:ser>
        <c:ser>
          <c:idx val="1"/>
          <c:order val="1"/>
          <c:tx>
            <c:strRef>
              <c:f>Yearly_LarvalAvg!$A$3</c:f>
              <c:strCache>
                <c:ptCount val="1"/>
                <c:pt idx="0">
                  <c:v>Western blackheaded budworm</c:v>
                </c:pt>
              </c:strCache>
            </c:strRef>
          </c:tx>
          <c:invertIfNegative val="0"/>
          <c:cat>
            <c:numRef>
              <c:f>Yearly_LarvalAvg!$B$1:$P$1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Yearly_LarvalAvg!$B$3:$P$3</c:f>
              <c:numCache>
                <c:formatCode>0.0</c:formatCode>
                <c:ptCount val="15"/>
                <c:pt idx="0">
                  <c:v>0.32</c:v>
                </c:pt>
                <c:pt idx="1">
                  <c:v>32</c:v>
                </c:pt>
                <c:pt idx="2">
                  <c:v>7.24</c:v>
                </c:pt>
                <c:pt idx="3">
                  <c:v>20.079999999999998</c:v>
                </c:pt>
                <c:pt idx="4">
                  <c:v>0</c:v>
                </c:pt>
                <c:pt idx="5">
                  <c:v>9.9428571428571431</c:v>
                </c:pt>
                <c:pt idx="6">
                  <c:v>4.5714285714285721</c:v>
                </c:pt>
                <c:pt idx="7">
                  <c:v>0.64</c:v>
                </c:pt>
                <c:pt idx="8" formatCode="General">
                  <c:v>0.2</c:v>
                </c:pt>
                <c:pt idx="9" formatCode="General">
                  <c:v>0.1</c:v>
                </c:pt>
                <c:pt idx="10" formatCode="General">
                  <c:v>0</c:v>
                </c:pt>
                <c:pt idx="11" formatCode="General">
                  <c:v>0.2</c:v>
                </c:pt>
                <c:pt idx="12" formatCode="General">
                  <c:v>0.04</c:v>
                </c:pt>
                <c:pt idx="13" formatCode="General">
                  <c:v>2.5</c:v>
                </c:pt>
                <c:pt idx="14" formatCode="General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0A-874A-A1C3-C0D3F0E155C9}"/>
            </c:ext>
          </c:extLst>
        </c:ser>
        <c:ser>
          <c:idx val="2"/>
          <c:order val="2"/>
          <c:tx>
            <c:strRef>
              <c:f>Yearly_LarvalAvg!$A$4</c:f>
              <c:strCache>
                <c:ptCount val="1"/>
                <c:pt idx="0">
                  <c:v>Sawflies</c:v>
                </c:pt>
              </c:strCache>
            </c:strRef>
          </c:tx>
          <c:invertIfNegative val="0"/>
          <c:cat>
            <c:numRef>
              <c:f>Yearly_LarvalAvg!$B$1:$P$1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Yearly_LarvalAvg!$B$4:$P$4</c:f>
              <c:numCache>
                <c:formatCode>0.0</c:formatCode>
                <c:ptCount val="15"/>
                <c:pt idx="0">
                  <c:v>9</c:v>
                </c:pt>
                <c:pt idx="1">
                  <c:v>61.08</c:v>
                </c:pt>
                <c:pt idx="2">
                  <c:v>8.44</c:v>
                </c:pt>
                <c:pt idx="3">
                  <c:v>19.559999999999999</c:v>
                </c:pt>
                <c:pt idx="4">
                  <c:v>17.371428571428574</c:v>
                </c:pt>
                <c:pt idx="5">
                  <c:v>4.3428571428571434</c:v>
                </c:pt>
                <c:pt idx="6">
                  <c:v>1.6000000000000003</c:v>
                </c:pt>
                <c:pt idx="7">
                  <c:v>2.6</c:v>
                </c:pt>
                <c:pt idx="8" formatCode="General">
                  <c:v>20</c:v>
                </c:pt>
                <c:pt idx="9" formatCode="General">
                  <c:v>20.399999999999999</c:v>
                </c:pt>
                <c:pt idx="10" formatCode="General">
                  <c:v>36</c:v>
                </c:pt>
                <c:pt idx="11" formatCode="General">
                  <c:v>27.5</c:v>
                </c:pt>
                <c:pt idx="12" formatCode="General">
                  <c:v>14.2</c:v>
                </c:pt>
                <c:pt idx="13" formatCode="General">
                  <c:v>17.8</c:v>
                </c:pt>
                <c:pt idx="14" formatCode="General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0A-874A-A1C3-C0D3F0E15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182336"/>
        <c:axId val="39183872"/>
      </c:barChart>
      <c:catAx>
        <c:axId val="3918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83872"/>
        <c:crosses val="autoZero"/>
        <c:auto val="1"/>
        <c:lblAlgn val="ctr"/>
        <c:lblOffset val="100"/>
        <c:noMultiLvlLbl val="0"/>
      </c:catAx>
      <c:valAx>
        <c:axId val="39183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Average  per beating site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82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3567645891021972"/>
          <c:y val="0.26492996586211037"/>
          <c:w val="0.20483836868132149"/>
          <c:h val="0.13450071192081381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18</xdr:row>
      <xdr:rowOff>60960</xdr:rowOff>
    </xdr:from>
    <xdr:to>
      <xdr:col>18</xdr:col>
      <xdr:colOff>279400</xdr:colOff>
      <xdr:row>43</xdr:row>
      <xdr:rowOff>15240</xdr:rowOff>
    </xdr:to>
    <xdr:graphicFrame macro="">
      <xdr:nvGraphicFramePr>
        <xdr:cNvPr id="39007" name="Chart 2">
          <a:extLst>
            <a:ext uri="{FF2B5EF4-FFF2-40B4-BE49-F238E27FC236}">
              <a16:creationId xmlns:a16="http://schemas.microsoft.com/office/drawing/2014/main" id="{00000000-0008-0000-0000-00005F9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3</xdr:row>
      <xdr:rowOff>0</xdr:rowOff>
    </xdr:from>
    <xdr:to>
      <xdr:col>32</xdr:col>
      <xdr:colOff>185420</xdr:colOff>
      <xdr:row>27</xdr:row>
      <xdr:rowOff>106680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A8CC3F00-B6AC-B84F-AB86-6F44619E0C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152400</xdr:colOff>
      <xdr:row>29</xdr:row>
      <xdr:rowOff>38100</xdr:rowOff>
    </xdr:from>
    <xdr:to>
      <xdr:col>35</xdr:col>
      <xdr:colOff>304800</xdr:colOff>
      <xdr:row>60</xdr:row>
      <xdr:rowOff>137160</xdr:rowOff>
    </xdr:to>
    <xdr:graphicFrame macro="">
      <xdr:nvGraphicFramePr>
        <xdr:cNvPr id="149566" name="Chart 3">
          <a:extLst>
            <a:ext uri="{FF2B5EF4-FFF2-40B4-BE49-F238E27FC236}">
              <a16:creationId xmlns:a16="http://schemas.microsoft.com/office/drawing/2014/main" id="{00000000-0008-0000-0C00-00003E48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510540</xdr:colOff>
      <xdr:row>28</xdr:row>
      <xdr:rowOff>137160</xdr:rowOff>
    </xdr:from>
    <xdr:to>
      <xdr:col>14</xdr:col>
      <xdr:colOff>152400</xdr:colOff>
      <xdr:row>48</xdr:row>
      <xdr:rowOff>106680</xdr:rowOff>
    </xdr:to>
    <xdr:graphicFrame macro="">
      <xdr:nvGraphicFramePr>
        <xdr:cNvPr id="149567" name="Chart 4">
          <a:extLst>
            <a:ext uri="{FF2B5EF4-FFF2-40B4-BE49-F238E27FC236}">
              <a16:creationId xmlns:a16="http://schemas.microsoft.com/office/drawing/2014/main" id="{00000000-0008-0000-0C00-00003F48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1569720</xdr:colOff>
      <xdr:row>12</xdr:row>
      <xdr:rowOff>137160</xdr:rowOff>
    </xdr:from>
    <xdr:to>
      <xdr:col>16</xdr:col>
      <xdr:colOff>205740</xdr:colOff>
      <xdr:row>40</xdr:row>
      <xdr:rowOff>106680</xdr:rowOff>
    </xdr:to>
    <xdr:graphicFrame macro="">
      <xdr:nvGraphicFramePr>
        <xdr:cNvPr id="15463" name="Chart 2">
          <a:extLst>
            <a:ext uri="{FF2B5EF4-FFF2-40B4-BE49-F238E27FC236}">
              <a16:creationId xmlns:a16="http://schemas.microsoft.com/office/drawing/2014/main" id="{00000000-0008-0000-0D00-000067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0.26743</cdr:x>
      <cdr:y>0.19939</cdr:y>
    </cdr:from>
    <cdr:to>
      <cdr:x>0.36494</cdr:x>
      <cdr:y>0.19939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2D9BD2CF-13AA-324B-B661-B765758545E8}"/>
            </a:ext>
          </a:extLst>
        </cdr:cNvPr>
        <cdr:cNvCxnSpPr/>
      </cdr:nvCxnSpPr>
      <cdr:spPr bwMode="auto">
        <a:xfrm xmlns:a="http://schemas.openxmlformats.org/drawingml/2006/main" flipH="1">
          <a:off x="2084037" y="915642"/>
          <a:ext cx="759868" cy="0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0.38102</cdr:x>
      <cdr:y>0.16491</cdr:y>
    </cdr:from>
    <cdr:to>
      <cdr:x>0.93694</cdr:x>
      <cdr:y>0.2389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969201" y="757319"/>
          <a:ext cx="4332129" cy="33978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/>
            <a:t>First year of notable </a:t>
          </a:r>
          <a:r>
            <a:rPr lang="en-US" sz="1000" b="1"/>
            <a:t>defoliation</a:t>
          </a:r>
          <a:r>
            <a:rPr lang="en-US" sz="900" b="1"/>
            <a:t> in previous</a:t>
          </a:r>
          <a:r>
            <a:rPr lang="en-US" sz="900" b="1" baseline="0"/>
            <a:t> outbreak.</a:t>
          </a:r>
          <a:endParaRPr lang="en-US" sz="9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198891" name="Text Box 1">
          <a:extLst>
            <a:ext uri="{FF2B5EF4-FFF2-40B4-BE49-F238E27FC236}">
              <a16:creationId xmlns:a16="http://schemas.microsoft.com/office/drawing/2014/main" id="{00000000-0008-0000-1A00-0000EB080300}"/>
            </a:ext>
          </a:extLst>
        </xdr:cNvPr>
        <xdr:cNvSpPr txBox="1">
          <a:spLocks noChangeArrowheads="1"/>
        </xdr:cNvSpPr>
      </xdr:nvSpPr>
      <xdr:spPr bwMode="auto">
        <a:xfrm>
          <a:off x="609600" y="7513320"/>
          <a:ext cx="320040" cy="388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1</xdr:row>
      <xdr:rowOff>38100</xdr:rowOff>
    </xdr:from>
    <xdr:to>
      <xdr:col>6</xdr:col>
      <xdr:colOff>0</xdr:colOff>
      <xdr:row>1</xdr:row>
      <xdr:rowOff>304800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>
          <a:spLocks noChangeArrowheads="1"/>
        </xdr:cNvSpPr>
      </xdr:nvSpPr>
      <xdr:spPr bwMode="auto">
        <a:xfrm>
          <a:off x="1958340" y="38100"/>
          <a:ext cx="9906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</xdr:col>
      <xdr:colOff>219075</xdr:colOff>
      <xdr:row>2</xdr:row>
      <xdr:rowOff>228600</xdr:rowOff>
    </xdr:from>
    <xdr:to>
      <xdr:col>2</xdr:col>
      <xdr:colOff>1058</xdr:colOff>
      <xdr:row>2</xdr:row>
      <xdr:rowOff>451658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Arrowheads="1"/>
        </xdr:cNvSpPr>
      </xdr:nvSpPr>
      <xdr:spPr bwMode="auto">
        <a:xfrm>
          <a:off x="807720" y="58674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91440</xdr:colOff>
      <xdr:row>32</xdr:row>
      <xdr:rowOff>7620</xdr:rowOff>
    </xdr:from>
    <xdr:to>
      <xdr:col>15</xdr:col>
      <xdr:colOff>60953</xdr:colOff>
      <xdr:row>36</xdr:row>
      <xdr:rowOff>7620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>
          <a:spLocks noChangeArrowheads="1"/>
        </xdr:cNvSpPr>
      </xdr:nvSpPr>
      <xdr:spPr bwMode="auto">
        <a:xfrm>
          <a:off x="990600" y="7840980"/>
          <a:ext cx="4038600" cy="670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Hemlock Sawflies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 and Black-headed budworm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Mixed</a:t>
          </a:r>
        </a:p>
      </xdr:txBody>
    </xdr:sp>
    <xdr:clientData/>
  </xdr:twoCellAnchor>
  <xdr:twoCellAnchor>
    <xdr:from>
      <xdr:col>2</xdr:col>
      <xdr:colOff>127635</xdr:colOff>
      <xdr:row>31</xdr:row>
      <xdr:rowOff>83820</xdr:rowOff>
    </xdr:from>
    <xdr:to>
      <xdr:col>6</xdr:col>
      <xdr:colOff>137142</xdr:colOff>
      <xdr:row>31</xdr:row>
      <xdr:rowOff>304800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>
          <a:spLocks noChangeArrowheads="1"/>
        </xdr:cNvSpPr>
      </xdr:nvSpPr>
      <xdr:spPr bwMode="auto">
        <a:xfrm>
          <a:off x="1036320" y="7574280"/>
          <a:ext cx="2049780" cy="2209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MAJOR DEFOLIATOR</a:t>
          </a:r>
        </a:p>
      </xdr:txBody>
    </xdr:sp>
    <xdr:clientData/>
  </xdr:twoCellAnchor>
  <xdr:twoCellAnchor>
    <xdr:from>
      <xdr:col>6</xdr:col>
      <xdr:colOff>22860</xdr:colOff>
      <xdr:row>1</xdr:row>
      <xdr:rowOff>30480</xdr:rowOff>
    </xdr:from>
    <xdr:to>
      <xdr:col>9</xdr:col>
      <xdr:colOff>198120</xdr:colOff>
      <xdr:row>1</xdr:row>
      <xdr:rowOff>337246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>
          <a:spLocks noChangeArrowheads="1"/>
        </xdr:cNvSpPr>
      </xdr:nvSpPr>
      <xdr:spPr bwMode="auto">
        <a:xfrm>
          <a:off x="2971800" y="22860"/>
          <a:ext cx="92202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12</xdr:col>
      <xdr:colOff>30480</xdr:colOff>
      <xdr:row>1</xdr:row>
      <xdr:rowOff>30480</xdr:rowOff>
    </xdr:from>
    <xdr:to>
      <xdr:col>15</xdr:col>
      <xdr:colOff>175260</xdr:colOff>
      <xdr:row>1</xdr:row>
      <xdr:rowOff>304800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>
          <a:spLocks noChangeArrowheads="1"/>
        </xdr:cNvSpPr>
      </xdr:nvSpPr>
      <xdr:spPr bwMode="auto">
        <a:xfrm>
          <a:off x="4290060" y="22860"/>
          <a:ext cx="85344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  <xdr:twoCellAnchor>
    <xdr:from>
      <xdr:col>18</xdr:col>
      <xdr:colOff>0</xdr:colOff>
      <xdr:row>30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198898" name="Text Box 1">
          <a:extLst>
            <a:ext uri="{FF2B5EF4-FFF2-40B4-BE49-F238E27FC236}">
              <a16:creationId xmlns:a16="http://schemas.microsoft.com/office/drawing/2014/main" id="{00000000-0008-0000-1A00-0000F2080300}"/>
            </a:ext>
          </a:extLst>
        </xdr:cNvPr>
        <xdr:cNvSpPr txBox="1">
          <a:spLocks noChangeArrowheads="1"/>
        </xdr:cNvSpPr>
      </xdr:nvSpPr>
      <xdr:spPr bwMode="auto">
        <a:xfrm>
          <a:off x="7566660" y="7513320"/>
          <a:ext cx="609600" cy="388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1</xdr:row>
      <xdr:rowOff>38100</xdr:rowOff>
    </xdr:from>
    <xdr:to>
      <xdr:col>23</xdr:col>
      <xdr:colOff>47</xdr:colOff>
      <xdr:row>1</xdr:row>
      <xdr:rowOff>304800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>
          <a:spLocks noChangeArrowheads="1"/>
        </xdr:cNvSpPr>
      </xdr:nvSpPr>
      <xdr:spPr bwMode="auto">
        <a:xfrm>
          <a:off x="1430020" y="454660"/>
          <a:ext cx="11201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18</xdr:col>
      <xdr:colOff>228600</xdr:colOff>
      <xdr:row>2</xdr:row>
      <xdr:rowOff>228600</xdr:rowOff>
    </xdr:from>
    <xdr:to>
      <xdr:col>18</xdr:col>
      <xdr:colOff>327660</xdr:colOff>
      <xdr:row>2</xdr:row>
      <xdr:rowOff>443966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Arrowheads="1"/>
        </xdr:cNvSpPr>
      </xdr:nvSpPr>
      <xdr:spPr bwMode="auto">
        <a:xfrm>
          <a:off x="228600" y="100076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23</xdr:col>
      <xdr:colOff>5715</xdr:colOff>
      <xdr:row>1</xdr:row>
      <xdr:rowOff>30480</xdr:rowOff>
    </xdr:from>
    <xdr:to>
      <xdr:col>26</xdr:col>
      <xdr:colOff>198180</xdr:colOff>
      <xdr:row>1</xdr:row>
      <xdr:rowOff>337246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>
          <a:spLocks noChangeArrowheads="1"/>
        </xdr:cNvSpPr>
      </xdr:nvSpPr>
      <xdr:spPr bwMode="auto">
        <a:xfrm>
          <a:off x="2573020" y="439420"/>
          <a:ext cx="123444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29</xdr:col>
      <xdr:colOff>20955</xdr:colOff>
      <xdr:row>1</xdr:row>
      <xdr:rowOff>30480</xdr:rowOff>
    </xdr:from>
    <xdr:to>
      <xdr:col>32</xdr:col>
      <xdr:colOff>165735</xdr:colOff>
      <xdr:row>1</xdr:row>
      <xdr:rowOff>304800</xdr:rowOff>
    </xdr:to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>
          <a:spLocks noChangeArrowheads="1"/>
        </xdr:cNvSpPr>
      </xdr:nvSpPr>
      <xdr:spPr bwMode="auto">
        <a:xfrm>
          <a:off x="4714240" y="439420"/>
          <a:ext cx="121158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38100</xdr:rowOff>
    </xdr:from>
    <xdr:to>
      <xdr:col>6</xdr:col>
      <xdr:colOff>59</xdr:colOff>
      <xdr:row>1</xdr:row>
      <xdr:rowOff>304800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1958340" y="38100"/>
          <a:ext cx="9906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</xdr:col>
      <xdr:colOff>219075</xdr:colOff>
      <xdr:row>2</xdr:row>
      <xdr:rowOff>228600</xdr:rowOff>
    </xdr:from>
    <xdr:to>
      <xdr:col>2</xdr:col>
      <xdr:colOff>1058</xdr:colOff>
      <xdr:row>2</xdr:row>
      <xdr:rowOff>451658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Arrowheads="1"/>
        </xdr:cNvSpPr>
      </xdr:nvSpPr>
      <xdr:spPr bwMode="auto">
        <a:xfrm>
          <a:off x="807720" y="58674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74295</xdr:colOff>
      <xdr:row>32</xdr:row>
      <xdr:rowOff>7620</xdr:rowOff>
    </xdr:from>
    <xdr:to>
      <xdr:col>15</xdr:col>
      <xdr:colOff>43808</xdr:colOff>
      <xdr:row>36</xdr:row>
      <xdr:rowOff>7620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>
          <a:spLocks noChangeArrowheads="1"/>
        </xdr:cNvSpPr>
      </xdr:nvSpPr>
      <xdr:spPr bwMode="auto">
        <a:xfrm>
          <a:off x="990600" y="7840980"/>
          <a:ext cx="4038600" cy="670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Hemlock Sawflies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 and Black-headed budworm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Mixed</a:t>
          </a:r>
        </a:p>
      </xdr:txBody>
    </xdr:sp>
    <xdr:clientData/>
  </xdr:twoCellAnchor>
  <xdr:twoCellAnchor>
    <xdr:from>
      <xdr:col>2</xdr:col>
      <xdr:colOff>127635</xdr:colOff>
      <xdr:row>31</xdr:row>
      <xdr:rowOff>83820</xdr:rowOff>
    </xdr:from>
    <xdr:to>
      <xdr:col>6</xdr:col>
      <xdr:colOff>127618</xdr:colOff>
      <xdr:row>31</xdr:row>
      <xdr:rowOff>304800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>
          <a:spLocks noChangeArrowheads="1"/>
        </xdr:cNvSpPr>
      </xdr:nvSpPr>
      <xdr:spPr bwMode="auto">
        <a:xfrm>
          <a:off x="1036320" y="7574280"/>
          <a:ext cx="2049780" cy="2209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MAJOR DEFOLIATOR</a:t>
          </a:r>
        </a:p>
      </xdr:txBody>
    </xdr:sp>
    <xdr:clientData/>
  </xdr:twoCellAnchor>
  <xdr:twoCellAnchor>
    <xdr:from>
      <xdr:col>6</xdr:col>
      <xdr:colOff>5715</xdr:colOff>
      <xdr:row>1</xdr:row>
      <xdr:rowOff>30480</xdr:rowOff>
    </xdr:from>
    <xdr:to>
      <xdr:col>9</xdr:col>
      <xdr:colOff>188595</xdr:colOff>
      <xdr:row>1</xdr:row>
      <xdr:rowOff>337246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>
          <a:spLocks noChangeArrowheads="1"/>
        </xdr:cNvSpPr>
      </xdr:nvSpPr>
      <xdr:spPr bwMode="auto">
        <a:xfrm>
          <a:off x="2971800" y="22860"/>
          <a:ext cx="92202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12</xdr:col>
      <xdr:colOff>20955</xdr:colOff>
      <xdr:row>1</xdr:row>
      <xdr:rowOff>30480</xdr:rowOff>
    </xdr:from>
    <xdr:to>
      <xdr:col>15</xdr:col>
      <xdr:colOff>165735</xdr:colOff>
      <xdr:row>1</xdr:row>
      <xdr:rowOff>304800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>
          <a:spLocks noChangeArrowheads="1"/>
        </xdr:cNvSpPr>
      </xdr:nvSpPr>
      <xdr:spPr bwMode="auto">
        <a:xfrm>
          <a:off x="4290060" y="22860"/>
          <a:ext cx="85344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  <xdr:twoCellAnchor>
    <xdr:from>
      <xdr:col>20</xdr:col>
      <xdr:colOff>0</xdr:colOff>
      <xdr:row>1</xdr:row>
      <xdr:rowOff>38100</xdr:rowOff>
    </xdr:from>
    <xdr:to>
      <xdr:col>23</xdr:col>
      <xdr:colOff>32</xdr:colOff>
      <xdr:row>1</xdr:row>
      <xdr:rowOff>304800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>
          <a:spLocks noChangeArrowheads="1"/>
        </xdr:cNvSpPr>
      </xdr:nvSpPr>
      <xdr:spPr bwMode="auto">
        <a:xfrm>
          <a:off x="1551940" y="454660"/>
          <a:ext cx="99822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18</xdr:col>
      <xdr:colOff>228600</xdr:colOff>
      <xdr:row>2</xdr:row>
      <xdr:rowOff>228600</xdr:rowOff>
    </xdr:from>
    <xdr:to>
      <xdr:col>18</xdr:col>
      <xdr:colOff>327660</xdr:colOff>
      <xdr:row>2</xdr:row>
      <xdr:rowOff>443966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Arrowheads="1"/>
        </xdr:cNvSpPr>
      </xdr:nvSpPr>
      <xdr:spPr bwMode="auto">
        <a:xfrm>
          <a:off x="228600" y="100076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23</xdr:col>
      <xdr:colOff>5715</xdr:colOff>
      <xdr:row>1</xdr:row>
      <xdr:rowOff>30480</xdr:rowOff>
    </xdr:from>
    <xdr:to>
      <xdr:col>26</xdr:col>
      <xdr:colOff>190534</xdr:colOff>
      <xdr:row>1</xdr:row>
      <xdr:rowOff>337246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>
          <a:spLocks noChangeArrowheads="1"/>
        </xdr:cNvSpPr>
      </xdr:nvSpPr>
      <xdr:spPr bwMode="auto">
        <a:xfrm>
          <a:off x="2573020" y="439420"/>
          <a:ext cx="117348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29</xdr:col>
      <xdr:colOff>20955</xdr:colOff>
      <xdr:row>1</xdr:row>
      <xdr:rowOff>30480</xdr:rowOff>
    </xdr:from>
    <xdr:to>
      <xdr:col>32</xdr:col>
      <xdr:colOff>165735</xdr:colOff>
      <xdr:row>1</xdr:row>
      <xdr:rowOff>304800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>
          <a:spLocks noChangeArrowheads="1"/>
        </xdr:cNvSpPr>
      </xdr:nvSpPr>
      <xdr:spPr bwMode="auto">
        <a:xfrm>
          <a:off x="4592320" y="439420"/>
          <a:ext cx="115062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38100</xdr:rowOff>
    </xdr:from>
    <xdr:to>
      <xdr:col>6</xdr:col>
      <xdr:colOff>51</xdr:colOff>
      <xdr:row>2</xdr:row>
      <xdr:rowOff>304800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1958340" y="38100"/>
          <a:ext cx="9906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</xdr:col>
      <xdr:colOff>219075</xdr:colOff>
      <xdr:row>3</xdr:row>
      <xdr:rowOff>228600</xdr:rowOff>
    </xdr:from>
    <xdr:to>
      <xdr:col>2</xdr:col>
      <xdr:colOff>1058</xdr:colOff>
      <xdr:row>3</xdr:row>
      <xdr:rowOff>441960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Arrowheads="1"/>
        </xdr:cNvSpPr>
      </xdr:nvSpPr>
      <xdr:spPr bwMode="auto">
        <a:xfrm>
          <a:off x="807720" y="58674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91440</xdr:colOff>
      <xdr:row>33</xdr:row>
      <xdr:rowOff>7620</xdr:rowOff>
    </xdr:from>
    <xdr:to>
      <xdr:col>15</xdr:col>
      <xdr:colOff>60953</xdr:colOff>
      <xdr:row>37</xdr:row>
      <xdr:rowOff>17191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>
          <a:spLocks noChangeArrowheads="1"/>
        </xdr:cNvSpPr>
      </xdr:nvSpPr>
      <xdr:spPr bwMode="auto">
        <a:xfrm>
          <a:off x="990600" y="7840980"/>
          <a:ext cx="4038600" cy="670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Hemlock Sawflies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 and Black-headed budworm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Mixed</a:t>
          </a:r>
        </a:p>
      </xdr:txBody>
    </xdr:sp>
    <xdr:clientData/>
  </xdr:twoCellAnchor>
  <xdr:twoCellAnchor>
    <xdr:from>
      <xdr:col>2</xdr:col>
      <xdr:colOff>127635</xdr:colOff>
      <xdr:row>32</xdr:row>
      <xdr:rowOff>76200</xdr:rowOff>
    </xdr:from>
    <xdr:to>
      <xdr:col>6</xdr:col>
      <xdr:colOff>137156</xdr:colOff>
      <xdr:row>32</xdr:row>
      <xdr:rowOff>305072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>
          <a:spLocks noChangeArrowheads="1"/>
        </xdr:cNvSpPr>
      </xdr:nvSpPr>
      <xdr:spPr bwMode="auto">
        <a:xfrm>
          <a:off x="1036320" y="7574280"/>
          <a:ext cx="2049780" cy="2209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MAJOR DEFOLIATOR</a:t>
          </a:r>
        </a:p>
      </xdr:txBody>
    </xdr:sp>
    <xdr:clientData/>
  </xdr:twoCellAnchor>
  <xdr:twoCellAnchor>
    <xdr:from>
      <xdr:col>6</xdr:col>
      <xdr:colOff>22860</xdr:colOff>
      <xdr:row>2</xdr:row>
      <xdr:rowOff>22860</xdr:rowOff>
    </xdr:from>
    <xdr:to>
      <xdr:col>9</xdr:col>
      <xdr:colOff>198120</xdr:colOff>
      <xdr:row>2</xdr:row>
      <xdr:rowOff>320040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>
          <a:spLocks noChangeArrowheads="1"/>
        </xdr:cNvSpPr>
      </xdr:nvSpPr>
      <xdr:spPr bwMode="auto">
        <a:xfrm>
          <a:off x="2971800" y="22860"/>
          <a:ext cx="92202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12</xdr:col>
      <xdr:colOff>30480</xdr:colOff>
      <xdr:row>2</xdr:row>
      <xdr:rowOff>22860</xdr:rowOff>
    </xdr:from>
    <xdr:to>
      <xdr:col>15</xdr:col>
      <xdr:colOff>175260</xdr:colOff>
      <xdr:row>2</xdr:row>
      <xdr:rowOff>297180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>
          <a:spLocks noChangeArrowheads="1"/>
        </xdr:cNvSpPr>
      </xdr:nvSpPr>
      <xdr:spPr bwMode="auto">
        <a:xfrm>
          <a:off x="4290060" y="22860"/>
          <a:ext cx="85344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  <xdr:twoCellAnchor>
    <xdr:from>
      <xdr:col>20</xdr:col>
      <xdr:colOff>24765</xdr:colOff>
      <xdr:row>2</xdr:row>
      <xdr:rowOff>38100</xdr:rowOff>
    </xdr:from>
    <xdr:to>
      <xdr:col>23</xdr:col>
      <xdr:colOff>48</xdr:colOff>
      <xdr:row>2</xdr:row>
      <xdr:rowOff>304800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>
          <a:spLocks noChangeArrowheads="1"/>
        </xdr:cNvSpPr>
      </xdr:nvSpPr>
      <xdr:spPr bwMode="auto">
        <a:xfrm>
          <a:off x="1379220" y="627380"/>
          <a:ext cx="115062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18</xdr:col>
      <xdr:colOff>228600</xdr:colOff>
      <xdr:row>3</xdr:row>
      <xdr:rowOff>228600</xdr:rowOff>
    </xdr:from>
    <xdr:to>
      <xdr:col>18</xdr:col>
      <xdr:colOff>335915</xdr:colOff>
      <xdr:row>3</xdr:row>
      <xdr:rowOff>434340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Arrowheads="1"/>
        </xdr:cNvSpPr>
      </xdr:nvSpPr>
      <xdr:spPr bwMode="auto">
        <a:xfrm>
          <a:off x="228600" y="117348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23</xdr:col>
      <xdr:colOff>30480</xdr:colOff>
      <xdr:row>2</xdr:row>
      <xdr:rowOff>22860</xdr:rowOff>
    </xdr:from>
    <xdr:to>
      <xdr:col>26</xdr:col>
      <xdr:colOff>190529</xdr:colOff>
      <xdr:row>2</xdr:row>
      <xdr:rowOff>320040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>
          <a:spLocks noChangeArrowheads="1"/>
        </xdr:cNvSpPr>
      </xdr:nvSpPr>
      <xdr:spPr bwMode="auto">
        <a:xfrm>
          <a:off x="2552700" y="612140"/>
          <a:ext cx="132588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29</xdr:col>
      <xdr:colOff>38100</xdr:colOff>
      <xdr:row>2</xdr:row>
      <xdr:rowOff>22860</xdr:rowOff>
    </xdr:from>
    <xdr:to>
      <xdr:col>32</xdr:col>
      <xdr:colOff>182880</xdr:colOff>
      <xdr:row>2</xdr:row>
      <xdr:rowOff>297180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>
          <a:spLocks noChangeArrowheads="1"/>
        </xdr:cNvSpPr>
      </xdr:nvSpPr>
      <xdr:spPr bwMode="auto">
        <a:xfrm>
          <a:off x="4876800" y="612140"/>
          <a:ext cx="130302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38100</xdr:rowOff>
    </xdr:from>
    <xdr:to>
      <xdr:col>6</xdr:col>
      <xdr:colOff>57</xdr:colOff>
      <xdr:row>1</xdr:row>
      <xdr:rowOff>304800</xdr:rowOff>
    </xdr:to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00000000-0008-0000-1D00-0000031C0000}"/>
            </a:ext>
          </a:extLst>
        </xdr:cNvPr>
        <xdr:cNvSpPr txBox="1">
          <a:spLocks noChangeArrowheads="1"/>
        </xdr:cNvSpPr>
      </xdr:nvSpPr>
      <xdr:spPr bwMode="auto">
        <a:xfrm>
          <a:off x="1958340" y="38100"/>
          <a:ext cx="9906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</xdr:col>
      <xdr:colOff>219075</xdr:colOff>
      <xdr:row>2</xdr:row>
      <xdr:rowOff>228600</xdr:rowOff>
    </xdr:from>
    <xdr:to>
      <xdr:col>2</xdr:col>
      <xdr:colOff>1058</xdr:colOff>
      <xdr:row>2</xdr:row>
      <xdr:rowOff>449862</xdr:rowOff>
    </xdr:to>
    <xdr:sp macro="" textlink="">
      <xdr:nvSpPr>
        <xdr:cNvPr id="7172" name="Rectangle 4">
          <a:extLst>
            <a:ext uri="{FF2B5EF4-FFF2-40B4-BE49-F238E27FC236}">
              <a16:creationId xmlns:a16="http://schemas.microsoft.com/office/drawing/2014/main" id="{00000000-0008-0000-1D00-0000041C0000}"/>
            </a:ext>
          </a:extLst>
        </xdr:cNvPr>
        <xdr:cNvSpPr>
          <a:spLocks noChangeArrowheads="1"/>
        </xdr:cNvSpPr>
      </xdr:nvSpPr>
      <xdr:spPr bwMode="auto">
        <a:xfrm>
          <a:off x="807720" y="58674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91440</xdr:colOff>
      <xdr:row>32</xdr:row>
      <xdr:rowOff>0</xdr:rowOff>
    </xdr:from>
    <xdr:to>
      <xdr:col>15</xdr:col>
      <xdr:colOff>60953</xdr:colOff>
      <xdr:row>36</xdr:row>
      <xdr:rowOff>17185</xdr:rowOff>
    </xdr:to>
    <xdr:sp macro="" textlink="">
      <xdr:nvSpPr>
        <xdr:cNvPr id="7173" name="Text Box 5">
          <a:extLst>
            <a:ext uri="{FF2B5EF4-FFF2-40B4-BE49-F238E27FC236}">
              <a16:creationId xmlns:a16="http://schemas.microsoft.com/office/drawing/2014/main" id="{00000000-0008-0000-1D00-0000051C0000}"/>
            </a:ext>
          </a:extLst>
        </xdr:cNvPr>
        <xdr:cNvSpPr txBox="1">
          <a:spLocks noChangeArrowheads="1"/>
        </xdr:cNvSpPr>
      </xdr:nvSpPr>
      <xdr:spPr bwMode="auto">
        <a:xfrm>
          <a:off x="990600" y="7840980"/>
          <a:ext cx="4038600" cy="670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Hemlock Sawflies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 and Black-headed budworm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Mixed</a:t>
          </a:r>
        </a:p>
      </xdr:txBody>
    </xdr:sp>
    <xdr:clientData/>
  </xdr:twoCellAnchor>
  <xdr:twoCellAnchor>
    <xdr:from>
      <xdr:col>2</xdr:col>
      <xdr:colOff>127635</xdr:colOff>
      <xdr:row>31</xdr:row>
      <xdr:rowOff>83820</xdr:rowOff>
    </xdr:from>
    <xdr:to>
      <xdr:col>6</xdr:col>
      <xdr:colOff>137156</xdr:colOff>
      <xdr:row>31</xdr:row>
      <xdr:rowOff>304800</xdr:rowOff>
    </xdr:to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id="{00000000-0008-0000-1D00-0000061C0000}"/>
            </a:ext>
          </a:extLst>
        </xdr:cNvPr>
        <xdr:cNvSpPr txBox="1">
          <a:spLocks noChangeArrowheads="1"/>
        </xdr:cNvSpPr>
      </xdr:nvSpPr>
      <xdr:spPr bwMode="auto">
        <a:xfrm>
          <a:off x="1036320" y="7574280"/>
          <a:ext cx="2049780" cy="2209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MAJOR DEFOLIATOR</a:t>
          </a:r>
        </a:p>
      </xdr:txBody>
    </xdr:sp>
    <xdr:clientData/>
  </xdr:twoCellAnchor>
  <xdr:twoCellAnchor>
    <xdr:from>
      <xdr:col>6</xdr:col>
      <xdr:colOff>22860</xdr:colOff>
      <xdr:row>1</xdr:row>
      <xdr:rowOff>22860</xdr:rowOff>
    </xdr:from>
    <xdr:to>
      <xdr:col>9</xdr:col>
      <xdr:colOff>181006</xdr:colOff>
      <xdr:row>1</xdr:row>
      <xdr:rowOff>320040</xdr:rowOff>
    </xdr:to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00000000-0008-0000-1D00-0000071C0000}"/>
            </a:ext>
          </a:extLst>
        </xdr:cNvPr>
        <xdr:cNvSpPr txBox="1">
          <a:spLocks noChangeArrowheads="1"/>
        </xdr:cNvSpPr>
      </xdr:nvSpPr>
      <xdr:spPr bwMode="auto">
        <a:xfrm>
          <a:off x="2971800" y="22860"/>
          <a:ext cx="92202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12</xdr:col>
      <xdr:colOff>30480</xdr:colOff>
      <xdr:row>1</xdr:row>
      <xdr:rowOff>22860</xdr:rowOff>
    </xdr:from>
    <xdr:to>
      <xdr:col>15</xdr:col>
      <xdr:colOff>175260</xdr:colOff>
      <xdr:row>1</xdr:row>
      <xdr:rowOff>297180</xdr:rowOff>
    </xdr:to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00000000-0008-0000-1D00-0000081C0000}"/>
            </a:ext>
          </a:extLst>
        </xdr:cNvPr>
        <xdr:cNvSpPr txBox="1">
          <a:spLocks noChangeArrowheads="1"/>
        </xdr:cNvSpPr>
      </xdr:nvSpPr>
      <xdr:spPr bwMode="auto">
        <a:xfrm>
          <a:off x="4290060" y="22860"/>
          <a:ext cx="85344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38100</xdr:rowOff>
    </xdr:from>
    <xdr:to>
      <xdr:col>6</xdr:col>
      <xdr:colOff>20</xdr:colOff>
      <xdr:row>1</xdr:row>
      <xdr:rowOff>304800</xdr:rowOff>
    </xdr:to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00000000-0008-0000-1E00-000003100000}"/>
            </a:ext>
          </a:extLst>
        </xdr:cNvPr>
        <xdr:cNvSpPr txBox="1">
          <a:spLocks noChangeArrowheads="1"/>
        </xdr:cNvSpPr>
      </xdr:nvSpPr>
      <xdr:spPr bwMode="auto">
        <a:xfrm>
          <a:off x="1958340" y="38100"/>
          <a:ext cx="93726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</xdr:col>
      <xdr:colOff>219075</xdr:colOff>
      <xdr:row>2</xdr:row>
      <xdr:rowOff>228600</xdr:rowOff>
    </xdr:from>
    <xdr:to>
      <xdr:col>2</xdr:col>
      <xdr:colOff>1058</xdr:colOff>
      <xdr:row>2</xdr:row>
      <xdr:rowOff>449862</xdr:rowOff>
    </xdr:to>
    <xdr:sp macro="" textlink="">
      <xdr:nvSpPr>
        <xdr:cNvPr id="4100" name="Rectangle 4">
          <a:extLst>
            <a:ext uri="{FF2B5EF4-FFF2-40B4-BE49-F238E27FC236}">
              <a16:creationId xmlns:a16="http://schemas.microsoft.com/office/drawing/2014/main" id="{00000000-0008-0000-1E00-000004100000}"/>
            </a:ext>
          </a:extLst>
        </xdr:cNvPr>
        <xdr:cNvSpPr>
          <a:spLocks noChangeArrowheads="1"/>
        </xdr:cNvSpPr>
      </xdr:nvSpPr>
      <xdr:spPr bwMode="auto">
        <a:xfrm>
          <a:off x="807720" y="58674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91440</xdr:colOff>
      <xdr:row>32</xdr:row>
      <xdr:rowOff>0</xdr:rowOff>
    </xdr:from>
    <xdr:to>
      <xdr:col>16</xdr:col>
      <xdr:colOff>60956</xdr:colOff>
      <xdr:row>36</xdr:row>
      <xdr:rowOff>17185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00000000-0008-0000-1E00-000005100000}"/>
            </a:ext>
          </a:extLst>
        </xdr:cNvPr>
        <xdr:cNvSpPr txBox="1">
          <a:spLocks noChangeArrowheads="1"/>
        </xdr:cNvSpPr>
      </xdr:nvSpPr>
      <xdr:spPr bwMode="auto">
        <a:xfrm>
          <a:off x="990600" y="7840980"/>
          <a:ext cx="4213860" cy="670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Hemlock Sawflies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 and Black-headed budworm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Western Hemlock Looper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Mixed</a:t>
          </a:r>
        </a:p>
      </xdr:txBody>
    </xdr:sp>
    <xdr:clientData/>
  </xdr:twoCellAnchor>
  <xdr:twoCellAnchor>
    <xdr:from>
      <xdr:col>2</xdr:col>
      <xdr:colOff>127635</xdr:colOff>
      <xdr:row>31</xdr:row>
      <xdr:rowOff>83820</xdr:rowOff>
    </xdr:from>
    <xdr:to>
      <xdr:col>6</xdr:col>
      <xdr:colOff>135255</xdr:colOff>
      <xdr:row>31</xdr:row>
      <xdr:rowOff>304800</xdr:rowOff>
    </xdr:to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00000000-0008-0000-1E00-000006100000}"/>
            </a:ext>
          </a:extLst>
        </xdr:cNvPr>
        <xdr:cNvSpPr txBox="1">
          <a:spLocks noChangeArrowheads="1"/>
        </xdr:cNvSpPr>
      </xdr:nvSpPr>
      <xdr:spPr bwMode="auto">
        <a:xfrm>
          <a:off x="1036320" y="7574280"/>
          <a:ext cx="1996440" cy="2209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MAJOR DEFOLIATOR</a:t>
          </a:r>
        </a:p>
      </xdr:txBody>
    </xdr:sp>
    <xdr:clientData/>
  </xdr:twoCellAnchor>
  <xdr:twoCellAnchor>
    <xdr:from>
      <xdr:col>6</xdr:col>
      <xdr:colOff>13335</xdr:colOff>
      <xdr:row>1</xdr:row>
      <xdr:rowOff>22860</xdr:rowOff>
    </xdr:from>
    <xdr:to>
      <xdr:col>9</xdr:col>
      <xdr:colOff>188595</xdr:colOff>
      <xdr:row>1</xdr:row>
      <xdr:rowOff>320040</xdr:rowOff>
    </xdr:to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00000000-0008-0000-1E00-000007100000}"/>
            </a:ext>
          </a:extLst>
        </xdr:cNvPr>
        <xdr:cNvSpPr txBox="1">
          <a:spLocks noChangeArrowheads="1"/>
        </xdr:cNvSpPr>
      </xdr:nvSpPr>
      <xdr:spPr bwMode="auto">
        <a:xfrm>
          <a:off x="2918460" y="22860"/>
          <a:ext cx="92202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10</xdr:col>
      <xdr:colOff>38100</xdr:colOff>
      <xdr:row>1</xdr:row>
      <xdr:rowOff>22860</xdr:rowOff>
    </xdr:from>
    <xdr:to>
      <xdr:col>16</xdr:col>
      <xdr:colOff>175281</xdr:colOff>
      <xdr:row>1</xdr:row>
      <xdr:rowOff>297180</xdr:rowOff>
    </xdr:to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00000000-0008-0000-1E00-000008100000}"/>
            </a:ext>
          </a:extLst>
        </xdr:cNvPr>
        <xdr:cNvSpPr txBox="1">
          <a:spLocks noChangeArrowheads="1"/>
        </xdr:cNvSpPr>
      </xdr:nvSpPr>
      <xdr:spPr bwMode="auto">
        <a:xfrm>
          <a:off x="3870960" y="22860"/>
          <a:ext cx="144780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</a:t>
          </a:r>
        </a:p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DEFOLIATORS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38100</xdr:rowOff>
    </xdr:from>
    <xdr:to>
      <xdr:col>6</xdr:col>
      <xdr:colOff>20</xdr:colOff>
      <xdr:row>1</xdr:row>
      <xdr:rowOff>304800</xdr:rowOff>
    </xdr:to>
    <xdr:sp macro="" textlink="">
      <xdr:nvSpPr>
        <xdr:cNvPr id="1078" name="Text Box 54">
          <a:extLst>
            <a:ext uri="{FF2B5EF4-FFF2-40B4-BE49-F238E27FC236}">
              <a16:creationId xmlns:a16="http://schemas.microsoft.com/office/drawing/2014/main" id="{00000000-0008-0000-1F00-000036040000}"/>
            </a:ext>
          </a:extLst>
        </xdr:cNvPr>
        <xdr:cNvSpPr txBox="1">
          <a:spLocks noChangeArrowheads="1"/>
        </xdr:cNvSpPr>
      </xdr:nvSpPr>
      <xdr:spPr bwMode="auto">
        <a:xfrm>
          <a:off x="1958340" y="38100"/>
          <a:ext cx="93726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</xdr:col>
      <xdr:colOff>219075</xdr:colOff>
      <xdr:row>2</xdr:row>
      <xdr:rowOff>219075</xdr:rowOff>
    </xdr:from>
    <xdr:to>
      <xdr:col>2</xdr:col>
      <xdr:colOff>1058</xdr:colOff>
      <xdr:row>2</xdr:row>
      <xdr:rowOff>425078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1F00-000011040000}"/>
            </a:ext>
          </a:extLst>
        </xdr:cNvPr>
        <xdr:cNvSpPr>
          <a:spLocks noChangeArrowheads="1"/>
        </xdr:cNvSpPr>
      </xdr:nvSpPr>
      <xdr:spPr bwMode="auto">
        <a:xfrm>
          <a:off x="807720" y="57912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114300</xdr:colOff>
      <xdr:row>32</xdr:row>
      <xdr:rowOff>20320</xdr:rowOff>
    </xdr:from>
    <xdr:to>
      <xdr:col>13</xdr:col>
      <xdr:colOff>158124</xdr:colOff>
      <xdr:row>35</xdr:row>
      <xdr:rowOff>101600</xdr:rowOff>
    </xdr:to>
    <xdr:sp macro="" textlink="">
      <xdr:nvSpPr>
        <xdr:cNvPr id="1076" name="Text Box 52">
          <a:extLst>
            <a:ext uri="{FF2B5EF4-FFF2-40B4-BE49-F238E27FC236}">
              <a16:creationId xmlns:a16="http://schemas.microsoft.com/office/drawing/2014/main" id="{00000000-0008-0000-1F00-000034040000}"/>
            </a:ext>
          </a:extLst>
        </xdr:cNvPr>
        <xdr:cNvSpPr txBox="1">
          <a:spLocks noChangeArrowheads="1"/>
        </xdr:cNvSpPr>
      </xdr:nvSpPr>
      <xdr:spPr bwMode="auto">
        <a:xfrm>
          <a:off x="439420" y="8199120"/>
          <a:ext cx="3784600" cy="599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Hemlock Sawflies</a:t>
          </a: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Hemlock Sawfiles and Western Hemlock Looper</a:t>
          </a: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Western Hemlock Looper</a:t>
          </a: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Mixed</a:t>
          </a:r>
        </a:p>
      </xdr:txBody>
    </xdr:sp>
    <xdr:clientData/>
  </xdr:twoCellAnchor>
  <xdr:twoCellAnchor>
    <xdr:from>
      <xdr:col>6</xdr:col>
      <xdr:colOff>13335</xdr:colOff>
      <xdr:row>1</xdr:row>
      <xdr:rowOff>22860</xdr:rowOff>
    </xdr:from>
    <xdr:to>
      <xdr:col>10</xdr:col>
      <xdr:colOff>3202</xdr:colOff>
      <xdr:row>1</xdr:row>
      <xdr:rowOff>320040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1F00-000037040000}"/>
            </a:ext>
          </a:extLst>
        </xdr:cNvPr>
        <xdr:cNvSpPr txBox="1">
          <a:spLocks noChangeArrowheads="1"/>
        </xdr:cNvSpPr>
      </xdr:nvSpPr>
      <xdr:spPr bwMode="auto">
        <a:xfrm>
          <a:off x="2918460" y="22860"/>
          <a:ext cx="92202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12</xdr:col>
      <xdr:colOff>257175</xdr:colOff>
      <xdr:row>1</xdr:row>
      <xdr:rowOff>22860</xdr:rowOff>
    </xdr:from>
    <xdr:to>
      <xdr:col>17</xdr:col>
      <xdr:colOff>76256</xdr:colOff>
      <xdr:row>1</xdr:row>
      <xdr:rowOff>297180</xdr:rowOff>
    </xdr:to>
    <xdr:sp macro="" textlink="">
      <xdr:nvSpPr>
        <xdr:cNvPr id="1080" name="Text Box 56">
          <a:extLst>
            <a:ext uri="{FF2B5EF4-FFF2-40B4-BE49-F238E27FC236}">
              <a16:creationId xmlns:a16="http://schemas.microsoft.com/office/drawing/2014/main" id="{00000000-0008-0000-1F00-000038040000}"/>
            </a:ext>
          </a:extLst>
        </xdr:cNvPr>
        <xdr:cNvSpPr txBox="1">
          <a:spLocks noChangeArrowheads="1"/>
        </xdr:cNvSpPr>
      </xdr:nvSpPr>
      <xdr:spPr bwMode="auto">
        <a:xfrm>
          <a:off x="4518660" y="22860"/>
          <a:ext cx="102870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DEFOLIATORS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38100</xdr:rowOff>
    </xdr:from>
    <xdr:to>
      <xdr:col>6</xdr:col>
      <xdr:colOff>21</xdr:colOff>
      <xdr:row>1</xdr:row>
      <xdr:rowOff>304800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2000-000003080000}"/>
            </a:ext>
          </a:extLst>
        </xdr:cNvPr>
        <xdr:cNvSpPr txBox="1">
          <a:spLocks noChangeArrowheads="1"/>
        </xdr:cNvSpPr>
      </xdr:nvSpPr>
      <xdr:spPr bwMode="auto">
        <a:xfrm>
          <a:off x="1958340" y="38100"/>
          <a:ext cx="90678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PRIMARY DEFOLIATORS</a:t>
          </a:r>
        </a:p>
      </xdr:txBody>
    </xdr:sp>
    <xdr:clientData/>
  </xdr:twoCellAnchor>
  <xdr:twoCellAnchor>
    <xdr:from>
      <xdr:col>1</xdr:col>
      <xdr:colOff>219075</xdr:colOff>
      <xdr:row>2</xdr:row>
      <xdr:rowOff>219075</xdr:rowOff>
    </xdr:from>
    <xdr:to>
      <xdr:col>2</xdr:col>
      <xdr:colOff>1058</xdr:colOff>
      <xdr:row>2</xdr:row>
      <xdr:rowOff>425078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2000-000004080000}"/>
            </a:ext>
          </a:extLst>
        </xdr:cNvPr>
        <xdr:cNvSpPr>
          <a:spLocks noChangeArrowheads="1"/>
        </xdr:cNvSpPr>
      </xdr:nvSpPr>
      <xdr:spPr bwMode="auto">
        <a:xfrm>
          <a:off x="807720" y="579120"/>
          <a:ext cx="99060" cy="213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132080</xdr:colOff>
      <xdr:row>32</xdr:row>
      <xdr:rowOff>337185</xdr:rowOff>
    </xdr:from>
    <xdr:to>
      <xdr:col>9</xdr:col>
      <xdr:colOff>236866</xdr:colOff>
      <xdr:row>36</xdr:row>
      <xdr:rowOff>147302</xdr:rowOff>
    </xdr:to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00000000-0008-0000-2000-000005080000}"/>
            </a:ext>
          </a:extLst>
        </xdr:cNvPr>
        <xdr:cNvSpPr txBox="1">
          <a:spLocks noChangeArrowheads="1"/>
        </xdr:cNvSpPr>
      </xdr:nvSpPr>
      <xdr:spPr bwMode="auto">
        <a:xfrm>
          <a:off x="449580" y="8153400"/>
          <a:ext cx="2898140" cy="690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Hemlock Sawflies</a:t>
          </a: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Hemlock Sawfiles and Western Hemlock Looper</a:t>
          </a: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Western Hemlock Looper</a:t>
          </a:r>
        </a:p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Mixed</a:t>
          </a:r>
        </a:p>
      </xdr:txBody>
    </xdr:sp>
    <xdr:clientData/>
  </xdr:twoCellAnchor>
  <xdr:twoCellAnchor>
    <xdr:from>
      <xdr:col>2</xdr:col>
      <xdr:colOff>91440</xdr:colOff>
      <xdr:row>32</xdr:row>
      <xdr:rowOff>66040</xdr:rowOff>
    </xdr:from>
    <xdr:to>
      <xdr:col>7</xdr:col>
      <xdr:colOff>175252</xdr:colOff>
      <xdr:row>32</xdr:row>
      <xdr:rowOff>288942</xdr:rowOff>
    </xdr:to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00000000-0008-0000-2000-000006080000}"/>
            </a:ext>
          </a:extLst>
        </xdr:cNvPr>
        <xdr:cNvSpPr txBox="1">
          <a:spLocks noChangeArrowheads="1"/>
        </xdr:cNvSpPr>
      </xdr:nvSpPr>
      <xdr:spPr bwMode="auto">
        <a:xfrm>
          <a:off x="408940" y="7891780"/>
          <a:ext cx="2336800" cy="2209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MAJOR DEFOLIATOR</a:t>
          </a:r>
        </a:p>
      </xdr:txBody>
    </xdr:sp>
    <xdr:clientData/>
  </xdr:twoCellAnchor>
  <xdr:twoCellAnchor>
    <xdr:from>
      <xdr:col>6</xdr:col>
      <xdr:colOff>30480</xdr:colOff>
      <xdr:row>1</xdr:row>
      <xdr:rowOff>22860</xdr:rowOff>
    </xdr:from>
    <xdr:to>
      <xdr:col>9</xdr:col>
      <xdr:colOff>198120</xdr:colOff>
      <xdr:row>1</xdr:row>
      <xdr:rowOff>320040</xdr:rowOff>
    </xdr:to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id="{00000000-0008-0000-2000-000007080000}"/>
            </a:ext>
          </a:extLst>
        </xdr:cNvPr>
        <xdr:cNvSpPr txBox="1">
          <a:spLocks noChangeArrowheads="1"/>
        </xdr:cNvSpPr>
      </xdr:nvSpPr>
      <xdr:spPr bwMode="auto">
        <a:xfrm>
          <a:off x="2887980" y="22860"/>
          <a:ext cx="922020" cy="2971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SECONDARY DEFOLIATORS</a:t>
          </a:r>
        </a:p>
      </xdr:txBody>
    </xdr:sp>
    <xdr:clientData/>
  </xdr:twoCellAnchor>
  <xdr:twoCellAnchor>
    <xdr:from>
      <xdr:col>11</xdr:col>
      <xdr:colOff>203835</xdr:colOff>
      <xdr:row>1</xdr:row>
      <xdr:rowOff>22860</xdr:rowOff>
    </xdr:from>
    <xdr:to>
      <xdr:col>15</xdr:col>
      <xdr:colOff>249555</xdr:colOff>
      <xdr:row>1</xdr:row>
      <xdr:rowOff>297180</xdr:rowOff>
    </xdr:to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00000000-0008-0000-2000-000008080000}"/>
            </a:ext>
          </a:extLst>
        </xdr:cNvPr>
        <xdr:cNvSpPr txBox="1">
          <a:spLocks noChangeArrowheads="1"/>
        </xdr:cNvSpPr>
      </xdr:nvSpPr>
      <xdr:spPr bwMode="auto">
        <a:xfrm>
          <a:off x="4381500" y="22860"/>
          <a:ext cx="96012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OTHER DEFOLIATORS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L8" sqref="L8"/>
    </sheetView>
  </sheetViews>
  <sheetFormatPr defaultRowHeight="12.45" x14ac:dyDescent="0.3"/>
  <cols>
    <col min="1" max="2" width="5.4609375" customWidth="1"/>
    <col min="3" max="3" width="13.84375" customWidth="1"/>
    <col min="4" max="10" width="5.3046875" customWidth="1"/>
  </cols>
  <sheetData>
    <row r="1" spans="1:10" ht="12.9" x14ac:dyDescent="0.35">
      <c r="A1" s="240" t="s">
        <v>87</v>
      </c>
      <c r="B1" s="240" t="s">
        <v>170</v>
      </c>
      <c r="C1" s="240" t="s">
        <v>25</v>
      </c>
      <c r="D1" s="241">
        <v>2013</v>
      </c>
      <c r="E1" s="241">
        <v>2014</v>
      </c>
      <c r="F1" s="241">
        <v>2015</v>
      </c>
      <c r="G1" s="241">
        <v>2016</v>
      </c>
      <c r="H1" s="242">
        <v>2017</v>
      </c>
      <c r="I1" s="241">
        <v>2018</v>
      </c>
      <c r="J1" s="263">
        <v>2019</v>
      </c>
    </row>
    <row r="2" spans="1:10" ht="12.9" x14ac:dyDescent="0.35">
      <c r="A2" s="240">
        <v>66</v>
      </c>
      <c r="B2" s="240" t="s">
        <v>171</v>
      </c>
      <c r="C2" s="240" t="s">
        <v>52</v>
      </c>
      <c r="D2" s="243">
        <v>39.666666666666664</v>
      </c>
      <c r="E2" s="244">
        <v>20.5</v>
      </c>
      <c r="F2" s="241">
        <v>2</v>
      </c>
      <c r="G2" s="241">
        <v>1</v>
      </c>
      <c r="H2" s="242" t="s">
        <v>161</v>
      </c>
      <c r="I2" s="241">
        <v>72</v>
      </c>
      <c r="J2" s="263">
        <v>235</v>
      </c>
    </row>
    <row r="3" spans="1:10" ht="12.9" x14ac:dyDescent="0.35">
      <c r="A3" s="240">
        <v>83</v>
      </c>
      <c r="B3" s="240" t="s">
        <v>171</v>
      </c>
      <c r="C3" s="240" t="s">
        <v>26</v>
      </c>
      <c r="D3" s="243">
        <v>170.5</v>
      </c>
      <c r="E3" s="244">
        <v>23</v>
      </c>
      <c r="F3" s="244">
        <v>10.833333333333334</v>
      </c>
      <c r="G3" s="241">
        <v>0</v>
      </c>
      <c r="H3" s="242">
        <v>49.6</v>
      </c>
      <c r="I3" s="241">
        <v>97</v>
      </c>
      <c r="J3" s="263">
        <v>658</v>
      </c>
    </row>
    <row r="4" spans="1:10" ht="12.9" x14ac:dyDescent="0.35">
      <c r="A4" s="240">
        <v>72</v>
      </c>
      <c r="B4" s="240" t="s">
        <v>171</v>
      </c>
      <c r="C4" s="240" t="s">
        <v>34</v>
      </c>
      <c r="D4" s="243">
        <v>109.66666666666667</v>
      </c>
      <c r="E4" s="244">
        <v>22.666666666666668</v>
      </c>
      <c r="F4" s="244">
        <v>19.2</v>
      </c>
      <c r="G4" s="241">
        <v>0.6</v>
      </c>
      <c r="H4" s="242">
        <v>18.600000000000001</v>
      </c>
      <c r="I4" s="241">
        <v>98</v>
      </c>
      <c r="J4" s="264">
        <v>56</v>
      </c>
    </row>
    <row r="5" spans="1:10" ht="12.9" x14ac:dyDescent="0.35">
      <c r="A5" s="240">
        <v>87</v>
      </c>
      <c r="B5" s="240" t="s">
        <v>171</v>
      </c>
      <c r="C5" s="240" t="s">
        <v>36</v>
      </c>
      <c r="D5" s="243">
        <v>36</v>
      </c>
      <c r="E5" s="244">
        <v>4</v>
      </c>
      <c r="F5" s="241">
        <v>2.8333333333333335</v>
      </c>
      <c r="G5" s="241">
        <v>4.8</v>
      </c>
      <c r="H5" s="242">
        <v>41.166666666666664</v>
      </c>
      <c r="I5" s="241" t="s">
        <v>161</v>
      </c>
      <c r="J5" s="263"/>
    </row>
    <row r="6" spans="1:10" ht="12.9" x14ac:dyDescent="0.35">
      <c r="A6" s="240">
        <v>73</v>
      </c>
      <c r="B6" s="240" t="s">
        <v>171</v>
      </c>
      <c r="C6" s="240" t="s">
        <v>50</v>
      </c>
      <c r="D6" s="243">
        <v>104.83333333333333</v>
      </c>
      <c r="E6" s="244">
        <v>31.2</v>
      </c>
      <c r="F6" s="244">
        <v>2.6666666666666665</v>
      </c>
      <c r="G6" s="241">
        <v>2.8</v>
      </c>
      <c r="H6" s="242">
        <v>22.833333333333332</v>
      </c>
      <c r="I6" s="241">
        <v>86</v>
      </c>
      <c r="J6" s="264">
        <v>33</v>
      </c>
    </row>
    <row r="7" spans="1:10" ht="12.9" x14ac:dyDescent="0.35">
      <c r="A7" s="240">
        <v>78</v>
      </c>
      <c r="B7" s="240" t="s">
        <v>171</v>
      </c>
      <c r="C7" s="240" t="s">
        <v>40</v>
      </c>
      <c r="D7" s="243">
        <v>65.666666666666671</v>
      </c>
      <c r="E7" s="244">
        <v>6.833333333333333</v>
      </c>
      <c r="F7" s="241">
        <v>5</v>
      </c>
      <c r="G7" s="241">
        <v>2.8</v>
      </c>
      <c r="H7" s="242">
        <v>15.2</v>
      </c>
      <c r="I7" s="241">
        <v>8</v>
      </c>
      <c r="J7" s="263">
        <v>257</v>
      </c>
    </row>
    <row r="8" spans="1:10" ht="12.9" x14ac:dyDescent="0.35">
      <c r="A8" s="240">
        <v>75</v>
      </c>
      <c r="B8" s="240" t="s">
        <v>171</v>
      </c>
      <c r="C8" s="240" t="s">
        <v>38</v>
      </c>
      <c r="D8" s="243">
        <v>85.5</v>
      </c>
      <c r="E8" s="244">
        <v>23.6</v>
      </c>
      <c r="F8" s="241">
        <v>8.8000000000000007</v>
      </c>
      <c r="G8" s="241">
        <v>8.8000000000000007</v>
      </c>
      <c r="H8" s="242">
        <v>8.6</v>
      </c>
      <c r="I8" s="241">
        <v>35</v>
      </c>
      <c r="J8" s="263">
        <v>246</v>
      </c>
    </row>
    <row r="9" spans="1:10" ht="12.9" x14ac:dyDescent="0.35">
      <c r="A9" s="240">
        <v>74</v>
      </c>
      <c r="B9" s="240" t="s">
        <v>171</v>
      </c>
      <c r="C9" s="240" t="s">
        <v>37</v>
      </c>
      <c r="D9" s="243">
        <v>137.33333333333334</v>
      </c>
      <c r="E9" s="244">
        <v>23.166666666666668</v>
      </c>
      <c r="F9" s="241">
        <v>2</v>
      </c>
      <c r="G9" s="241">
        <v>2.5</v>
      </c>
      <c r="H9" s="242">
        <v>42</v>
      </c>
      <c r="I9" s="241">
        <v>55</v>
      </c>
      <c r="J9" s="263">
        <v>257</v>
      </c>
    </row>
    <row r="10" spans="1:10" ht="12.9" x14ac:dyDescent="0.35">
      <c r="A10" s="240">
        <v>76</v>
      </c>
      <c r="B10" s="240" t="s">
        <v>171</v>
      </c>
      <c r="C10" s="240" t="s">
        <v>39</v>
      </c>
      <c r="D10" s="243">
        <v>37.666666666666664</v>
      </c>
      <c r="E10" s="244">
        <v>1.8333333333333333</v>
      </c>
      <c r="F10" s="241">
        <v>2.4</v>
      </c>
      <c r="G10" s="241">
        <v>1</v>
      </c>
      <c r="H10" s="242">
        <v>26.166666666666668</v>
      </c>
      <c r="I10" s="241">
        <v>55</v>
      </c>
      <c r="J10" s="263">
        <v>88</v>
      </c>
    </row>
    <row r="11" spans="1:10" ht="12.9" x14ac:dyDescent="0.35">
      <c r="A11" s="240">
        <v>84</v>
      </c>
      <c r="B11" s="240" t="s">
        <v>171</v>
      </c>
      <c r="C11" s="240" t="s">
        <v>41</v>
      </c>
      <c r="D11" s="243">
        <v>12.666666666666666</v>
      </c>
      <c r="E11" s="244">
        <v>5.5</v>
      </c>
      <c r="F11" s="241">
        <v>4.166666666666667</v>
      </c>
      <c r="G11" s="241">
        <v>1.7</v>
      </c>
      <c r="H11" s="242">
        <v>49.833333333333336</v>
      </c>
      <c r="I11" s="241">
        <v>25</v>
      </c>
      <c r="J11" s="263">
        <v>342</v>
      </c>
    </row>
    <row r="12" spans="1:10" ht="12.9" x14ac:dyDescent="0.35">
      <c r="A12" s="240">
        <v>85</v>
      </c>
      <c r="B12" s="240" t="s">
        <v>171</v>
      </c>
      <c r="C12" s="240" t="s">
        <v>48</v>
      </c>
      <c r="D12" s="243">
        <v>83.166666666666671</v>
      </c>
      <c r="E12" s="244">
        <v>4</v>
      </c>
      <c r="F12" s="244">
        <v>8.5</v>
      </c>
      <c r="G12" s="241">
        <v>1.8</v>
      </c>
      <c r="H12" s="242">
        <v>19.600000000000001</v>
      </c>
      <c r="I12" s="241">
        <v>145</v>
      </c>
      <c r="J12" s="263">
        <v>518</v>
      </c>
    </row>
    <row r="13" spans="1:10" ht="12.9" x14ac:dyDescent="0.35">
      <c r="A13" s="239"/>
      <c r="B13" s="239"/>
      <c r="C13" s="262" t="s">
        <v>70</v>
      </c>
      <c r="D13" s="260">
        <f t="shared" ref="D13:G13" si="0">AVERAGE(D2:D12)</f>
        <v>80.242424242424235</v>
      </c>
      <c r="E13" s="260">
        <f t="shared" si="0"/>
        <v>15.118181818181819</v>
      </c>
      <c r="F13" s="260">
        <f t="shared" si="0"/>
        <v>6.2181818181818178</v>
      </c>
      <c r="G13" s="260">
        <f t="shared" si="0"/>
        <v>2.5272727272727273</v>
      </c>
      <c r="H13" s="261">
        <f>AVERAGE(H3:H12)</f>
        <v>29.360000000000003</v>
      </c>
      <c r="I13" s="260">
        <f>AVERAGE(I2:I12)</f>
        <v>67.599999999999994</v>
      </c>
      <c r="J13" s="265">
        <f>AVERAGE(J2:J12)</f>
        <v>269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O14"/>
  <sheetViews>
    <sheetView zoomScaleNormal="100" workbookViewId="0"/>
  </sheetViews>
  <sheetFormatPr defaultColWidth="8.765625" defaultRowHeight="11.6" x14ac:dyDescent="0.3"/>
  <cols>
    <col min="1" max="1" width="6.765625" style="78" customWidth="1"/>
    <col min="2" max="2" width="16.765625" style="78" customWidth="1"/>
    <col min="3" max="14" width="4.765625" style="78" customWidth="1"/>
    <col min="15" max="15" width="6.765625" style="78" customWidth="1"/>
    <col min="16" max="16384" width="8.765625" style="78"/>
  </cols>
  <sheetData>
    <row r="1" spans="1:15" ht="12" customHeight="1" x14ac:dyDescent="0.35">
      <c r="A1" s="240" t="s">
        <v>87</v>
      </c>
      <c r="B1" s="240" t="s">
        <v>25</v>
      </c>
      <c r="C1" s="241">
        <v>2007</v>
      </c>
      <c r="D1" s="241">
        <v>2008</v>
      </c>
      <c r="E1" s="241">
        <v>2009</v>
      </c>
      <c r="F1" s="241">
        <v>2010</v>
      </c>
      <c r="G1" s="241">
        <v>2011</v>
      </c>
      <c r="H1" s="241">
        <v>2012</v>
      </c>
      <c r="I1" s="241">
        <v>2013</v>
      </c>
      <c r="J1" s="241">
        <v>2014</v>
      </c>
      <c r="K1" s="241">
        <v>2015</v>
      </c>
      <c r="L1" s="241">
        <v>2016</v>
      </c>
      <c r="M1" s="242">
        <v>2017</v>
      </c>
      <c r="N1" s="241">
        <v>2018</v>
      </c>
      <c r="O1" s="258">
        <v>2019</v>
      </c>
    </row>
    <row r="2" spans="1:15" ht="12" x14ac:dyDescent="0.35">
      <c r="A2" s="240">
        <v>66</v>
      </c>
      <c r="B2" s="240" t="s">
        <v>52</v>
      </c>
      <c r="C2" s="241">
        <v>1.2</v>
      </c>
      <c r="D2" s="241">
        <v>28.833333333333332</v>
      </c>
      <c r="E2" s="241">
        <v>30.333333333333332</v>
      </c>
      <c r="F2" s="241">
        <v>221.33333333333334</v>
      </c>
      <c r="G2" s="244">
        <v>328.33333333333331</v>
      </c>
      <c r="H2" s="244">
        <v>222.16666666666666</v>
      </c>
      <c r="I2" s="243">
        <v>39.666666666666664</v>
      </c>
      <c r="J2" s="244">
        <v>20.5</v>
      </c>
      <c r="K2" s="241">
        <v>2</v>
      </c>
      <c r="L2" s="241">
        <v>1</v>
      </c>
      <c r="M2" s="242" t="s">
        <v>161</v>
      </c>
      <c r="N2" s="241">
        <v>72</v>
      </c>
      <c r="O2" s="258">
        <v>235</v>
      </c>
    </row>
    <row r="3" spans="1:15" ht="12" x14ac:dyDescent="0.35">
      <c r="A3" s="240">
        <v>83</v>
      </c>
      <c r="B3" s="240" t="s">
        <v>26</v>
      </c>
      <c r="C3" s="241">
        <v>1.1666666666666667</v>
      </c>
      <c r="D3" s="241">
        <v>24.5</v>
      </c>
      <c r="E3" s="241">
        <v>55</v>
      </c>
      <c r="F3" s="241">
        <v>550.5</v>
      </c>
      <c r="G3" s="244">
        <v>634.5</v>
      </c>
      <c r="H3" s="244">
        <v>557.33333333333337</v>
      </c>
      <c r="I3" s="243">
        <v>170.5</v>
      </c>
      <c r="J3" s="244">
        <v>23</v>
      </c>
      <c r="K3" s="244">
        <v>10.833333333333334</v>
      </c>
      <c r="L3" s="241">
        <v>0</v>
      </c>
      <c r="M3" s="242">
        <v>49.6</v>
      </c>
      <c r="N3" s="241">
        <v>97</v>
      </c>
      <c r="O3" s="258">
        <v>658</v>
      </c>
    </row>
    <row r="4" spans="1:15" ht="12" x14ac:dyDescent="0.35">
      <c r="A4" s="240">
        <v>72</v>
      </c>
      <c r="B4" s="240" t="s">
        <v>34</v>
      </c>
      <c r="C4" s="241">
        <v>1.2</v>
      </c>
      <c r="D4" s="241">
        <v>22.166666666666668</v>
      </c>
      <c r="E4" s="241">
        <v>75.333333333333329</v>
      </c>
      <c r="F4" s="241">
        <v>383.5</v>
      </c>
      <c r="G4" s="244">
        <v>283.66666666666669</v>
      </c>
      <c r="H4" s="244">
        <v>390.33333333333331</v>
      </c>
      <c r="I4" s="243">
        <v>109.66666666666667</v>
      </c>
      <c r="J4" s="244">
        <v>22.666666666666668</v>
      </c>
      <c r="K4" s="244">
        <v>19.2</v>
      </c>
      <c r="L4" s="241">
        <v>0.6</v>
      </c>
      <c r="M4" s="242">
        <v>18.600000000000001</v>
      </c>
      <c r="N4" s="241">
        <v>98</v>
      </c>
      <c r="O4" s="259">
        <v>56</v>
      </c>
    </row>
    <row r="5" spans="1:15" ht="12" x14ac:dyDescent="0.35">
      <c r="A5" s="240">
        <v>87</v>
      </c>
      <c r="B5" s="240" t="s">
        <v>36</v>
      </c>
      <c r="C5" s="241">
        <v>1</v>
      </c>
      <c r="D5" s="241">
        <v>27.333333333333332</v>
      </c>
      <c r="E5" s="241">
        <v>30</v>
      </c>
      <c r="F5" s="241">
        <v>196.2</v>
      </c>
      <c r="G5" s="241"/>
      <c r="H5" s="244">
        <v>200.83333333333334</v>
      </c>
      <c r="I5" s="243">
        <v>36</v>
      </c>
      <c r="J5" s="244">
        <v>4</v>
      </c>
      <c r="K5" s="241">
        <v>2.8333333333333335</v>
      </c>
      <c r="L5" s="241">
        <v>4.8</v>
      </c>
      <c r="M5" s="242">
        <v>41.166666666666664</v>
      </c>
      <c r="N5" s="241" t="s">
        <v>161</v>
      </c>
      <c r="O5" s="258"/>
    </row>
    <row r="6" spans="1:15" ht="12" x14ac:dyDescent="0.35">
      <c r="A6" s="240">
        <v>73</v>
      </c>
      <c r="B6" s="240" t="s">
        <v>50</v>
      </c>
      <c r="C6" s="241">
        <v>0.83333333333333337</v>
      </c>
      <c r="D6" s="241">
        <v>8</v>
      </c>
      <c r="E6" s="241">
        <v>6</v>
      </c>
      <c r="F6" s="241">
        <v>259</v>
      </c>
      <c r="G6" s="244">
        <v>227.83333333333334</v>
      </c>
      <c r="H6" s="244">
        <v>280.83333333333331</v>
      </c>
      <c r="I6" s="243">
        <v>104.83333333333333</v>
      </c>
      <c r="J6" s="244">
        <v>31.2</v>
      </c>
      <c r="K6" s="244">
        <v>2.6666666666666665</v>
      </c>
      <c r="L6" s="241">
        <v>2.8</v>
      </c>
      <c r="M6" s="242">
        <v>22.833333333333332</v>
      </c>
      <c r="N6" s="241">
        <v>86</v>
      </c>
      <c r="O6" s="259">
        <v>33</v>
      </c>
    </row>
    <row r="7" spans="1:15" ht="12" x14ac:dyDescent="0.35">
      <c r="A7" s="240">
        <v>78</v>
      </c>
      <c r="B7" s="240" t="s">
        <v>40</v>
      </c>
      <c r="C7" s="241">
        <v>1.1666666666666667</v>
      </c>
      <c r="D7" s="241">
        <v>16.166666666666668</v>
      </c>
      <c r="E7" s="241">
        <v>30.5</v>
      </c>
      <c r="F7" s="241">
        <v>312.5</v>
      </c>
      <c r="G7" s="244">
        <v>372.66666666666669</v>
      </c>
      <c r="H7" s="244">
        <v>517.83333333333337</v>
      </c>
      <c r="I7" s="243">
        <v>65.666666666666671</v>
      </c>
      <c r="J7" s="244">
        <v>6.833333333333333</v>
      </c>
      <c r="K7" s="241">
        <v>5</v>
      </c>
      <c r="L7" s="241">
        <v>2.8</v>
      </c>
      <c r="M7" s="242">
        <v>15.2</v>
      </c>
      <c r="N7" s="241">
        <v>8</v>
      </c>
      <c r="O7" s="258">
        <v>257</v>
      </c>
    </row>
    <row r="8" spans="1:15" ht="12" x14ac:dyDescent="0.35">
      <c r="A8" s="240">
        <v>75</v>
      </c>
      <c r="B8" s="240" t="s">
        <v>38</v>
      </c>
      <c r="C8" s="241">
        <v>1</v>
      </c>
      <c r="D8" s="241">
        <v>29.5</v>
      </c>
      <c r="E8" s="241">
        <v>60.166666666666664</v>
      </c>
      <c r="F8" s="241">
        <v>371.66666666666669</v>
      </c>
      <c r="G8" s="244">
        <v>1135.1666666666667</v>
      </c>
      <c r="H8" s="244">
        <v>743.16666666666663</v>
      </c>
      <c r="I8" s="243">
        <v>85.5</v>
      </c>
      <c r="J8" s="244">
        <v>23.6</v>
      </c>
      <c r="K8" s="241">
        <v>8.8000000000000007</v>
      </c>
      <c r="L8" s="241">
        <v>8.8000000000000007</v>
      </c>
      <c r="M8" s="242">
        <v>8.6</v>
      </c>
      <c r="N8" s="241">
        <v>35</v>
      </c>
      <c r="O8" s="258">
        <v>246</v>
      </c>
    </row>
    <row r="9" spans="1:15" ht="12" x14ac:dyDescent="0.35">
      <c r="A9" s="240">
        <v>74</v>
      </c>
      <c r="B9" s="240" t="s">
        <v>37</v>
      </c>
      <c r="C9" s="241">
        <v>2.8333333333333335</v>
      </c>
      <c r="D9" s="241">
        <v>4</v>
      </c>
      <c r="E9" s="241">
        <v>80.5</v>
      </c>
      <c r="F9" s="241">
        <v>302.5</v>
      </c>
      <c r="G9" s="244">
        <v>689</v>
      </c>
      <c r="H9" s="244">
        <v>597</v>
      </c>
      <c r="I9" s="243">
        <v>137.33333333333334</v>
      </c>
      <c r="J9" s="244">
        <v>23.166666666666668</v>
      </c>
      <c r="K9" s="241">
        <v>2</v>
      </c>
      <c r="L9" s="241">
        <v>2.5</v>
      </c>
      <c r="M9" s="242">
        <v>42</v>
      </c>
      <c r="N9" s="241">
        <v>55</v>
      </c>
      <c r="O9" s="258">
        <v>257</v>
      </c>
    </row>
    <row r="10" spans="1:15" ht="12" x14ac:dyDescent="0.35">
      <c r="A10" s="240">
        <v>76</v>
      </c>
      <c r="B10" s="240" t="s">
        <v>39</v>
      </c>
      <c r="C10" s="241">
        <v>0.66666666666666663</v>
      </c>
      <c r="D10" s="241">
        <v>9.3333333333333339</v>
      </c>
      <c r="E10" s="241">
        <v>29.5</v>
      </c>
      <c r="F10" s="241">
        <v>318.39999999999998</v>
      </c>
      <c r="G10" s="244">
        <v>769</v>
      </c>
      <c r="H10" s="244">
        <v>644.66666666666663</v>
      </c>
      <c r="I10" s="243">
        <v>37.666666666666664</v>
      </c>
      <c r="J10" s="244">
        <v>1.8333333333333333</v>
      </c>
      <c r="K10" s="241">
        <v>2.4</v>
      </c>
      <c r="L10" s="241">
        <v>1</v>
      </c>
      <c r="M10" s="242">
        <v>26.166666666666668</v>
      </c>
      <c r="N10" s="241">
        <v>55</v>
      </c>
      <c r="O10" s="258">
        <v>88</v>
      </c>
    </row>
    <row r="11" spans="1:15" ht="12" x14ac:dyDescent="0.35">
      <c r="A11" s="240">
        <v>84</v>
      </c>
      <c r="B11" s="240" t="s">
        <v>41</v>
      </c>
      <c r="C11" s="241">
        <v>1.8333333333333333</v>
      </c>
      <c r="D11" s="241">
        <v>15.666666666666666</v>
      </c>
      <c r="E11" s="241">
        <v>130.19999999999999</v>
      </c>
      <c r="F11" s="241">
        <v>431.16666666666669</v>
      </c>
      <c r="G11" s="244">
        <v>1274.3333333333333</v>
      </c>
      <c r="H11" s="244">
        <v>865.16666666666663</v>
      </c>
      <c r="I11" s="243">
        <v>12.666666666666666</v>
      </c>
      <c r="J11" s="244">
        <v>5.5</v>
      </c>
      <c r="K11" s="241">
        <v>4.166666666666667</v>
      </c>
      <c r="L11" s="241">
        <v>1.7</v>
      </c>
      <c r="M11" s="242">
        <v>49.833333333333336</v>
      </c>
      <c r="N11" s="241">
        <v>25</v>
      </c>
      <c r="O11" s="258">
        <v>342</v>
      </c>
    </row>
    <row r="12" spans="1:15" ht="12" x14ac:dyDescent="0.35">
      <c r="A12" s="240">
        <v>85</v>
      </c>
      <c r="B12" s="240" t="s">
        <v>48</v>
      </c>
      <c r="C12" s="241">
        <v>7.5</v>
      </c>
      <c r="D12" s="241">
        <v>89.166666666666671</v>
      </c>
      <c r="E12" s="241">
        <v>237.2</v>
      </c>
      <c r="F12" s="241">
        <v>468</v>
      </c>
      <c r="G12" s="244">
        <v>1532.6</v>
      </c>
      <c r="H12" s="244">
        <v>304</v>
      </c>
      <c r="I12" s="243">
        <v>83.166666666666671</v>
      </c>
      <c r="J12" s="244">
        <v>4</v>
      </c>
      <c r="K12" s="244">
        <v>8.5</v>
      </c>
      <c r="L12" s="241">
        <v>1.8</v>
      </c>
      <c r="M12" s="242">
        <v>19.600000000000001</v>
      </c>
      <c r="N12" s="241">
        <v>145</v>
      </c>
      <c r="O12" s="258">
        <v>518</v>
      </c>
    </row>
    <row r="13" spans="1:15" ht="12" x14ac:dyDescent="0.35">
      <c r="A13" s="239"/>
      <c r="B13" s="240" t="s">
        <v>70</v>
      </c>
      <c r="C13" s="241">
        <f>AVERAGE(C2:C12)</f>
        <v>1.8545454545454545</v>
      </c>
      <c r="D13" s="241">
        <f>AVERAGE(D2:D12)</f>
        <v>24.969696969696972</v>
      </c>
      <c r="E13" s="241">
        <f>AVERAGE(E2:E12)</f>
        <v>69.521212121212116</v>
      </c>
      <c r="F13" s="241">
        <f>AVERAGE(F2:F12)</f>
        <v>346.79696969696971</v>
      </c>
      <c r="G13" s="241">
        <v>724</v>
      </c>
      <c r="H13" s="241">
        <f t="shared" ref="H13:L13" si="0">AVERAGE(H2:H12)</f>
        <v>483.93939393939394</v>
      </c>
      <c r="I13" s="241">
        <f t="shared" si="0"/>
        <v>80.242424242424235</v>
      </c>
      <c r="J13" s="241">
        <f t="shared" si="0"/>
        <v>15.118181818181819</v>
      </c>
      <c r="K13" s="241">
        <f t="shared" si="0"/>
        <v>6.2181818181818178</v>
      </c>
      <c r="L13" s="241">
        <f t="shared" si="0"/>
        <v>2.5272727272727273</v>
      </c>
      <c r="M13" s="245">
        <f>AVERAGE(M3:M12)</f>
        <v>29.360000000000003</v>
      </c>
      <c r="N13" s="241">
        <f>AVERAGE(N2:N12)</f>
        <v>67.599999999999994</v>
      </c>
      <c r="O13" s="258">
        <f>AVERAGE(O2:O12)</f>
        <v>269</v>
      </c>
    </row>
    <row r="14" spans="1:15" x14ac:dyDescent="0.3">
      <c r="G14" s="192" t="s">
        <v>20</v>
      </c>
      <c r="H14" s="192" t="s">
        <v>20</v>
      </c>
    </row>
  </sheetData>
  <pageMargins left="0.7" right="0.7" top="0.75" bottom="0.75" header="0.3" footer="0.3"/>
  <ignoredErrors>
    <ignoredError sqref="C13:L13" formulaRange="1"/>
    <ignoredError sqref="M13" formula="1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2:W18"/>
  <sheetViews>
    <sheetView workbookViewId="0">
      <selection activeCell="K22" sqref="K21:K22"/>
    </sheetView>
  </sheetViews>
  <sheetFormatPr defaultColWidth="8.765625" defaultRowHeight="12.45" x14ac:dyDescent="0.3"/>
  <cols>
    <col min="2" max="2" width="12.4609375" customWidth="1"/>
    <col min="3" max="8" width="9" bestFit="1" customWidth="1"/>
    <col min="9" max="9" width="9.69140625" bestFit="1" customWidth="1"/>
    <col min="10" max="10" width="9" bestFit="1" customWidth="1"/>
  </cols>
  <sheetData>
    <row r="2" spans="1:23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  <c r="M2" s="175" t="s">
        <v>0</v>
      </c>
      <c r="N2" s="175" t="s">
        <v>25</v>
      </c>
      <c r="O2" s="175">
        <v>1</v>
      </c>
      <c r="P2" s="175">
        <v>2</v>
      </c>
      <c r="Q2" s="175">
        <v>3</v>
      </c>
      <c r="R2" s="175">
        <v>4</v>
      </c>
      <c r="S2" s="175">
        <v>5</v>
      </c>
      <c r="T2" s="175">
        <v>6</v>
      </c>
      <c r="U2" s="175" t="s">
        <v>114</v>
      </c>
      <c r="V2" s="175" t="s">
        <v>70</v>
      </c>
    </row>
    <row r="3" spans="1:23" ht="12.9" x14ac:dyDescent="0.35">
      <c r="A3" s="184">
        <v>66</v>
      </c>
      <c r="B3" s="185" t="s">
        <v>52</v>
      </c>
      <c r="C3" s="236">
        <v>540</v>
      </c>
      <c r="D3" s="237">
        <v>75</v>
      </c>
      <c r="E3" s="237">
        <v>421</v>
      </c>
      <c r="F3" s="237">
        <v>35</v>
      </c>
      <c r="G3" s="237">
        <v>278</v>
      </c>
      <c r="H3" s="237">
        <v>63</v>
      </c>
      <c r="I3" s="238">
        <f>SUM(C3:H3)</f>
        <v>1412</v>
      </c>
      <c r="J3" s="235">
        <f>AVERAGE(C3:H3)</f>
        <v>235.33333333333334</v>
      </c>
      <c r="M3" s="184">
        <v>66</v>
      </c>
      <c r="N3" s="185" t="s">
        <v>52</v>
      </c>
      <c r="O3" s="236">
        <v>131</v>
      </c>
      <c r="P3" s="237">
        <v>48</v>
      </c>
      <c r="Q3" s="237">
        <v>36</v>
      </c>
      <c r="R3" s="237">
        <v>28</v>
      </c>
      <c r="S3" s="237">
        <v>53</v>
      </c>
      <c r="T3" s="237">
        <v>135</v>
      </c>
      <c r="U3" s="238">
        <f>SUM(O3:T3)</f>
        <v>431</v>
      </c>
      <c r="V3" s="235">
        <f>U3/6</f>
        <v>71.833333333333329</v>
      </c>
    </row>
    <row r="4" spans="1:23" ht="12.9" x14ac:dyDescent="0.35">
      <c r="A4" s="184">
        <v>72</v>
      </c>
      <c r="B4" s="186" t="s">
        <v>34</v>
      </c>
      <c r="C4" s="206">
        <v>28</v>
      </c>
      <c r="D4" s="206">
        <v>52</v>
      </c>
      <c r="E4" s="206">
        <v>37</v>
      </c>
      <c r="F4" s="206">
        <v>92</v>
      </c>
      <c r="G4" s="206">
        <v>38</v>
      </c>
      <c r="H4" s="206">
        <v>88</v>
      </c>
      <c r="I4" s="238">
        <f t="shared" ref="I4:I12" si="0">SUM(C4:H4)</f>
        <v>335</v>
      </c>
      <c r="J4" s="257">
        <f t="shared" ref="J4:J12" si="1">AVERAGE(C4:H4)</f>
        <v>55.833333333333336</v>
      </c>
      <c r="M4" s="184">
        <v>72</v>
      </c>
      <c r="N4" s="186" t="s">
        <v>34</v>
      </c>
      <c r="O4" s="206">
        <v>81</v>
      </c>
      <c r="P4" s="206">
        <v>51</v>
      </c>
      <c r="Q4" s="206">
        <v>127</v>
      </c>
      <c r="R4" s="206">
        <v>94</v>
      </c>
      <c r="S4" s="206">
        <v>202</v>
      </c>
      <c r="T4" s="206">
        <v>34</v>
      </c>
      <c r="U4" s="238">
        <f t="shared" ref="U4:U12" si="2">SUM(O4:T4)</f>
        <v>589</v>
      </c>
      <c r="V4" s="235">
        <f t="shared" ref="V4:V11" si="3">U4/6</f>
        <v>98.166666666666671</v>
      </c>
      <c r="W4">
        <v>49.6</v>
      </c>
    </row>
    <row r="5" spans="1:23" ht="12.9" x14ac:dyDescent="0.35">
      <c r="A5" s="184">
        <v>73</v>
      </c>
      <c r="B5" s="185" t="s">
        <v>102</v>
      </c>
      <c r="C5" s="205">
        <v>38</v>
      </c>
      <c r="D5" s="205">
        <v>8</v>
      </c>
      <c r="E5" s="205">
        <v>41</v>
      </c>
      <c r="F5" s="205">
        <v>56</v>
      </c>
      <c r="G5" s="205">
        <v>22</v>
      </c>
      <c r="H5" s="205">
        <v>32</v>
      </c>
      <c r="I5" s="238">
        <f t="shared" si="0"/>
        <v>197</v>
      </c>
      <c r="J5" s="257">
        <f t="shared" si="1"/>
        <v>32.833333333333336</v>
      </c>
      <c r="M5" s="184">
        <v>73</v>
      </c>
      <c r="N5" s="185" t="s">
        <v>102</v>
      </c>
      <c r="O5" s="205">
        <v>102</v>
      </c>
      <c r="P5" s="205">
        <v>157</v>
      </c>
      <c r="Q5" s="205">
        <v>15</v>
      </c>
      <c r="R5" s="205" t="s">
        <v>69</v>
      </c>
      <c r="S5" s="205">
        <v>70</v>
      </c>
      <c r="T5" s="205" t="s">
        <v>69</v>
      </c>
      <c r="U5" s="238">
        <f t="shared" si="2"/>
        <v>344</v>
      </c>
      <c r="V5" s="235">
        <f>U5/4</f>
        <v>86</v>
      </c>
      <c r="W5">
        <v>18.600000000000001</v>
      </c>
    </row>
    <row r="6" spans="1:23" ht="12.9" x14ac:dyDescent="0.35">
      <c r="A6" s="184">
        <v>74</v>
      </c>
      <c r="B6" s="185" t="s">
        <v>37</v>
      </c>
      <c r="C6" s="205">
        <v>178</v>
      </c>
      <c r="D6" s="205">
        <v>324</v>
      </c>
      <c r="E6" s="205">
        <v>269</v>
      </c>
      <c r="F6" s="205">
        <v>187</v>
      </c>
      <c r="G6" s="205">
        <v>342</v>
      </c>
      <c r="H6" s="205">
        <v>243</v>
      </c>
      <c r="I6" s="238">
        <f t="shared" si="0"/>
        <v>1543</v>
      </c>
      <c r="J6" s="235">
        <f t="shared" si="1"/>
        <v>257.16666666666669</v>
      </c>
      <c r="M6" s="184">
        <v>74</v>
      </c>
      <c r="N6" s="185" t="s">
        <v>37</v>
      </c>
      <c r="O6" s="205">
        <v>67</v>
      </c>
      <c r="P6" s="205">
        <v>24</v>
      </c>
      <c r="Q6" s="205">
        <v>5</v>
      </c>
      <c r="R6" s="205">
        <v>99</v>
      </c>
      <c r="S6" s="205">
        <v>77</v>
      </c>
      <c r="T6" s="205">
        <v>58</v>
      </c>
      <c r="U6" s="238">
        <f t="shared" si="2"/>
        <v>330</v>
      </c>
      <c r="V6" s="235">
        <f t="shared" si="3"/>
        <v>55</v>
      </c>
      <c r="W6">
        <v>41.166666666666664</v>
      </c>
    </row>
    <row r="7" spans="1:23" ht="12.9" x14ac:dyDescent="0.35">
      <c r="A7" s="184">
        <v>75</v>
      </c>
      <c r="B7" s="185" t="s">
        <v>104</v>
      </c>
      <c r="C7" s="205">
        <v>428</v>
      </c>
      <c r="D7" s="205">
        <v>158</v>
      </c>
      <c r="E7" s="205">
        <v>82</v>
      </c>
      <c r="F7" s="205">
        <v>134</v>
      </c>
      <c r="G7" s="205">
        <v>428</v>
      </c>
      <c r="H7" s="205" t="s">
        <v>69</v>
      </c>
      <c r="I7" s="238">
        <f t="shared" si="0"/>
        <v>1230</v>
      </c>
      <c r="J7" s="235">
        <f t="shared" si="1"/>
        <v>246</v>
      </c>
      <c r="M7" s="184">
        <v>75</v>
      </c>
      <c r="N7" s="185" t="s">
        <v>104</v>
      </c>
      <c r="O7" s="205">
        <v>35</v>
      </c>
      <c r="P7" s="205">
        <v>12</v>
      </c>
      <c r="Q7" s="205">
        <v>68</v>
      </c>
      <c r="R7" s="205">
        <v>28</v>
      </c>
      <c r="S7" s="205">
        <v>31</v>
      </c>
      <c r="T7" s="205" t="s">
        <v>69</v>
      </c>
      <c r="U7" s="238">
        <f t="shared" si="2"/>
        <v>174</v>
      </c>
      <c r="V7" s="235">
        <f>U7/5</f>
        <v>34.799999999999997</v>
      </c>
      <c r="W7">
        <v>22.833333333333332</v>
      </c>
    </row>
    <row r="8" spans="1:23" ht="12.9" x14ac:dyDescent="0.35">
      <c r="A8" s="184">
        <v>76</v>
      </c>
      <c r="B8" s="185" t="s">
        <v>105</v>
      </c>
      <c r="C8" s="205">
        <v>30</v>
      </c>
      <c r="D8" s="205">
        <v>96</v>
      </c>
      <c r="E8" s="205">
        <v>148</v>
      </c>
      <c r="F8" s="205">
        <v>54</v>
      </c>
      <c r="G8" s="205">
        <v>114</v>
      </c>
      <c r="H8" s="205" t="s">
        <v>69</v>
      </c>
      <c r="I8" s="238">
        <f t="shared" si="0"/>
        <v>442</v>
      </c>
      <c r="J8" s="235">
        <f t="shared" si="1"/>
        <v>88.4</v>
      </c>
      <c r="M8" s="184">
        <v>76</v>
      </c>
      <c r="N8" s="185" t="s">
        <v>105</v>
      </c>
      <c r="O8" s="205">
        <v>18</v>
      </c>
      <c r="P8" s="205">
        <v>2</v>
      </c>
      <c r="Q8" s="205">
        <v>26</v>
      </c>
      <c r="R8" s="205">
        <v>13</v>
      </c>
      <c r="S8" s="205">
        <v>20</v>
      </c>
      <c r="T8" s="205">
        <v>71</v>
      </c>
      <c r="U8" s="238">
        <f t="shared" si="2"/>
        <v>150</v>
      </c>
      <c r="V8" s="235">
        <f t="shared" si="3"/>
        <v>25</v>
      </c>
      <c r="W8">
        <v>15.2</v>
      </c>
    </row>
    <row r="9" spans="1:23" ht="12.9" x14ac:dyDescent="0.35">
      <c r="A9" s="184">
        <v>78</v>
      </c>
      <c r="B9" s="185" t="s">
        <v>106</v>
      </c>
      <c r="C9" s="205">
        <v>427</v>
      </c>
      <c r="D9" s="205">
        <v>178</v>
      </c>
      <c r="E9" s="205">
        <v>52</v>
      </c>
      <c r="F9" s="205">
        <v>75</v>
      </c>
      <c r="G9" s="205">
        <v>741</v>
      </c>
      <c r="H9" s="205">
        <v>71</v>
      </c>
      <c r="I9" s="238">
        <f t="shared" si="0"/>
        <v>1544</v>
      </c>
      <c r="J9" s="235">
        <f t="shared" si="1"/>
        <v>257.33333333333331</v>
      </c>
      <c r="M9" s="184">
        <v>78</v>
      </c>
      <c r="N9" s="185" t="s">
        <v>106</v>
      </c>
      <c r="O9" s="205">
        <v>5</v>
      </c>
      <c r="P9" s="205">
        <v>16</v>
      </c>
      <c r="Q9" s="205">
        <v>4</v>
      </c>
      <c r="R9" s="205">
        <v>7</v>
      </c>
      <c r="S9" s="205">
        <v>13</v>
      </c>
      <c r="T9" s="205">
        <v>1</v>
      </c>
      <c r="U9" s="238">
        <f t="shared" si="2"/>
        <v>46</v>
      </c>
      <c r="V9" s="235">
        <f t="shared" si="3"/>
        <v>7.666666666666667</v>
      </c>
      <c r="W9">
        <v>8.6</v>
      </c>
    </row>
    <row r="10" spans="1:23" ht="12.9" x14ac:dyDescent="0.35">
      <c r="A10" s="184">
        <v>83</v>
      </c>
      <c r="B10" s="185" t="s">
        <v>107</v>
      </c>
      <c r="C10" s="206">
        <v>506</v>
      </c>
      <c r="D10" s="206">
        <v>1371</v>
      </c>
      <c r="E10" s="206">
        <v>64</v>
      </c>
      <c r="F10" s="206">
        <v>700</v>
      </c>
      <c r="G10" s="206">
        <v>650</v>
      </c>
      <c r="H10" s="206" t="s">
        <v>69</v>
      </c>
      <c r="I10" s="238">
        <f t="shared" si="0"/>
        <v>3291</v>
      </c>
      <c r="J10" s="235">
        <f t="shared" si="1"/>
        <v>658.2</v>
      </c>
      <c r="M10" s="184">
        <v>83</v>
      </c>
      <c r="N10" s="185" t="s">
        <v>107</v>
      </c>
      <c r="O10" s="206">
        <v>32</v>
      </c>
      <c r="P10" s="206">
        <v>6</v>
      </c>
      <c r="Q10" s="206">
        <v>76</v>
      </c>
      <c r="R10" s="206">
        <v>42</v>
      </c>
      <c r="S10" s="206">
        <v>76</v>
      </c>
      <c r="T10" s="206">
        <v>351</v>
      </c>
      <c r="U10" s="238">
        <f t="shared" si="2"/>
        <v>583</v>
      </c>
      <c r="V10" s="235">
        <f t="shared" si="3"/>
        <v>97.166666666666671</v>
      </c>
      <c r="W10">
        <v>42</v>
      </c>
    </row>
    <row r="11" spans="1:23" ht="12.9" x14ac:dyDescent="0.35">
      <c r="A11" s="184">
        <v>84</v>
      </c>
      <c r="B11" s="185" t="s">
        <v>41</v>
      </c>
      <c r="C11" s="205">
        <v>558</v>
      </c>
      <c r="D11" s="205">
        <v>412</v>
      </c>
      <c r="E11" s="205">
        <v>448</v>
      </c>
      <c r="F11" s="205">
        <v>57</v>
      </c>
      <c r="G11" s="205">
        <v>235</v>
      </c>
      <c r="H11" s="205" t="s">
        <v>69</v>
      </c>
      <c r="I11" s="238">
        <f t="shared" si="0"/>
        <v>1710</v>
      </c>
      <c r="J11" s="235">
        <f t="shared" si="1"/>
        <v>342</v>
      </c>
      <c r="M11" s="184">
        <v>84</v>
      </c>
      <c r="N11" s="185" t="s">
        <v>41</v>
      </c>
      <c r="O11" s="205">
        <v>23</v>
      </c>
      <c r="P11" s="205">
        <v>77</v>
      </c>
      <c r="Q11" s="205">
        <v>121</v>
      </c>
      <c r="R11" s="205">
        <v>102</v>
      </c>
      <c r="S11" s="205">
        <v>18</v>
      </c>
      <c r="T11" s="205">
        <v>17</v>
      </c>
      <c r="U11" s="238">
        <f t="shared" si="2"/>
        <v>358</v>
      </c>
      <c r="V11" s="235">
        <f t="shared" si="3"/>
        <v>59.666666666666664</v>
      </c>
      <c r="W11">
        <v>26.166666666666668</v>
      </c>
    </row>
    <row r="12" spans="1:23" ht="12.9" x14ac:dyDescent="0.35">
      <c r="A12" s="184">
        <v>85</v>
      </c>
      <c r="B12" s="185" t="s">
        <v>108</v>
      </c>
      <c r="C12" s="205">
        <v>442</v>
      </c>
      <c r="D12" s="205">
        <v>739</v>
      </c>
      <c r="E12" s="205">
        <v>67</v>
      </c>
      <c r="F12" s="205">
        <v>57</v>
      </c>
      <c r="G12" s="205">
        <v>1438</v>
      </c>
      <c r="H12" s="205">
        <v>367</v>
      </c>
      <c r="I12" s="238">
        <f t="shared" si="0"/>
        <v>3110</v>
      </c>
      <c r="J12" s="235">
        <f t="shared" si="1"/>
        <v>518.33333333333337</v>
      </c>
      <c r="M12" s="184">
        <v>85</v>
      </c>
      <c r="N12" s="185" t="s">
        <v>108</v>
      </c>
      <c r="O12" s="205">
        <v>121</v>
      </c>
      <c r="P12" s="205">
        <v>131</v>
      </c>
      <c r="Q12" s="205">
        <v>340</v>
      </c>
      <c r="R12" s="205">
        <v>135</v>
      </c>
      <c r="S12" s="205" t="s">
        <v>164</v>
      </c>
      <c r="T12" s="205" t="s">
        <v>69</v>
      </c>
      <c r="U12" s="238">
        <f t="shared" si="2"/>
        <v>727</v>
      </c>
      <c r="V12" s="235">
        <f>U12/5</f>
        <v>145.4</v>
      </c>
      <c r="W12">
        <v>49.833333333333336</v>
      </c>
    </row>
    <row r="13" spans="1:23" ht="12.9" x14ac:dyDescent="0.35">
      <c r="A13" s="184">
        <v>87</v>
      </c>
      <c r="B13" s="185" t="s">
        <v>109</v>
      </c>
      <c r="C13" s="266" t="s">
        <v>169</v>
      </c>
      <c r="D13" s="267"/>
      <c r="E13" s="267"/>
      <c r="F13" s="267"/>
      <c r="G13" s="267"/>
      <c r="H13" s="267"/>
      <c r="I13" s="268"/>
      <c r="J13" s="207">
        <f>AVERAGE(J3:J12)</f>
        <v>269.14333333333337</v>
      </c>
      <c r="M13" s="184">
        <v>87</v>
      </c>
      <c r="N13" s="185" t="s">
        <v>109</v>
      </c>
      <c r="O13" s="266" t="s">
        <v>163</v>
      </c>
      <c r="P13" s="267"/>
      <c r="Q13" s="267"/>
      <c r="R13" s="267"/>
      <c r="S13" s="267"/>
      <c r="T13" s="267"/>
      <c r="U13" s="268"/>
      <c r="V13" s="207">
        <f>AVERAGE(V3:V12)</f>
        <v>68.070000000000007</v>
      </c>
      <c r="W13">
        <v>19.600000000000001</v>
      </c>
    </row>
    <row r="14" spans="1:23" x14ac:dyDescent="0.3">
      <c r="A14" s="168"/>
      <c r="B14" s="169" t="s">
        <v>9</v>
      </c>
      <c r="I14" s="208">
        <f>SUM(I3:I13)</f>
        <v>14814</v>
      </c>
      <c r="J14" s="208" t="s">
        <v>20</v>
      </c>
      <c r="M14" s="168"/>
      <c r="N14" s="169" t="s">
        <v>9</v>
      </c>
      <c r="U14" s="208">
        <f>SUM(U3:U13)</f>
        <v>3732</v>
      </c>
      <c r="V14" s="208" t="s">
        <v>20</v>
      </c>
    </row>
    <row r="18" spans="9:9" x14ac:dyDescent="0.3">
      <c r="I18" s="217" t="s">
        <v>20</v>
      </c>
    </row>
  </sheetData>
  <mergeCells count="2">
    <mergeCell ref="O13:U13"/>
    <mergeCell ref="C13:I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2:K14"/>
  <sheetViews>
    <sheetView workbookViewId="0">
      <selection activeCell="A2" sqref="A2:J13"/>
    </sheetView>
  </sheetViews>
  <sheetFormatPr defaultColWidth="8.765625" defaultRowHeight="12.45" x14ac:dyDescent="0.3"/>
  <cols>
    <col min="2" max="2" width="12.4609375" customWidth="1"/>
    <col min="3" max="8" width="9" bestFit="1" customWidth="1"/>
    <col min="9" max="9" width="9.69140625" bestFit="1" customWidth="1"/>
    <col min="10" max="10" width="9" bestFit="1" customWidth="1"/>
  </cols>
  <sheetData>
    <row r="2" spans="1:11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</row>
    <row r="3" spans="1:11" ht="12.9" x14ac:dyDescent="0.35">
      <c r="A3" s="184">
        <v>66</v>
      </c>
      <c r="B3" s="185" t="s">
        <v>52</v>
      </c>
      <c r="C3" s="236">
        <v>131</v>
      </c>
      <c r="D3" s="237">
        <v>48</v>
      </c>
      <c r="E3" s="237">
        <v>36</v>
      </c>
      <c r="F3" s="237">
        <v>28</v>
      </c>
      <c r="G3" s="237">
        <v>53</v>
      </c>
      <c r="H3" s="237">
        <v>135</v>
      </c>
      <c r="I3" s="238">
        <f>SUM(C3:H3)</f>
        <v>431</v>
      </c>
      <c r="J3" s="235">
        <f>I3/6</f>
        <v>71.833333333333329</v>
      </c>
    </row>
    <row r="4" spans="1:11" ht="12.9" x14ac:dyDescent="0.35">
      <c r="A4" s="184">
        <v>72</v>
      </c>
      <c r="B4" s="186" t="s">
        <v>34</v>
      </c>
      <c r="C4" s="206">
        <v>81</v>
      </c>
      <c r="D4" s="206">
        <v>51</v>
      </c>
      <c r="E4" s="206">
        <v>127</v>
      </c>
      <c r="F4" s="206">
        <v>94</v>
      </c>
      <c r="G4" s="206">
        <v>202</v>
      </c>
      <c r="H4" s="206">
        <v>34</v>
      </c>
      <c r="I4" s="238">
        <f t="shared" ref="I4:I12" si="0">SUM(C4:H4)</f>
        <v>589</v>
      </c>
      <c r="J4" s="235">
        <f t="shared" ref="J4:J11" si="1">I4/6</f>
        <v>98.166666666666671</v>
      </c>
      <c r="K4">
        <v>49.6</v>
      </c>
    </row>
    <row r="5" spans="1:11" ht="12.9" x14ac:dyDescent="0.35">
      <c r="A5" s="184">
        <v>73</v>
      </c>
      <c r="B5" s="185" t="s">
        <v>102</v>
      </c>
      <c r="C5" s="205">
        <v>102</v>
      </c>
      <c r="D5" s="205">
        <v>157</v>
      </c>
      <c r="E5" s="205">
        <v>15</v>
      </c>
      <c r="F5" s="205" t="s">
        <v>69</v>
      </c>
      <c r="G5" s="205">
        <v>70</v>
      </c>
      <c r="H5" s="205" t="s">
        <v>69</v>
      </c>
      <c r="I5" s="238">
        <f t="shared" si="0"/>
        <v>344</v>
      </c>
      <c r="J5" s="235">
        <f>I5/4</f>
        <v>86</v>
      </c>
      <c r="K5">
        <v>18.600000000000001</v>
      </c>
    </row>
    <row r="6" spans="1:11" ht="12.9" x14ac:dyDescent="0.35">
      <c r="A6" s="184">
        <v>74</v>
      </c>
      <c r="B6" s="185" t="s">
        <v>37</v>
      </c>
      <c r="C6" s="205">
        <v>67</v>
      </c>
      <c r="D6" s="205">
        <v>24</v>
      </c>
      <c r="E6" s="205">
        <v>5</v>
      </c>
      <c r="F6" s="205">
        <v>99</v>
      </c>
      <c r="G6" s="205">
        <v>77</v>
      </c>
      <c r="H6" s="205">
        <v>58</v>
      </c>
      <c r="I6" s="238">
        <f t="shared" si="0"/>
        <v>330</v>
      </c>
      <c r="J6" s="235">
        <f t="shared" si="1"/>
        <v>55</v>
      </c>
      <c r="K6">
        <v>41.166666666666664</v>
      </c>
    </row>
    <row r="7" spans="1:11" ht="12.9" x14ac:dyDescent="0.35">
      <c r="A7" s="184">
        <v>75</v>
      </c>
      <c r="B7" s="185" t="s">
        <v>104</v>
      </c>
      <c r="C7" s="205">
        <v>35</v>
      </c>
      <c r="D7" s="205">
        <v>12</v>
      </c>
      <c r="E7" s="205">
        <v>68</v>
      </c>
      <c r="F7" s="205">
        <v>28</v>
      </c>
      <c r="G7" s="205">
        <v>31</v>
      </c>
      <c r="H7" s="205" t="s">
        <v>69</v>
      </c>
      <c r="I7" s="238">
        <f t="shared" si="0"/>
        <v>174</v>
      </c>
      <c r="J7" s="235">
        <f>I7/5</f>
        <v>34.799999999999997</v>
      </c>
      <c r="K7">
        <v>22.833333333333332</v>
      </c>
    </row>
    <row r="8" spans="1:11" ht="12.9" x14ac:dyDescent="0.35">
      <c r="A8" s="184">
        <v>76</v>
      </c>
      <c r="B8" s="185" t="s">
        <v>105</v>
      </c>
      <c r="C8" s="205">
        <v>18</v>
      </c>
      <c r="D8" s="205">
        <v>2</v>
      </c>
      <c r="E8" s="205">
        <v>26</v>
      </c>
      <c r="F8" s="205">
        <v>13</v>
      </c>
      <c r="G8" s="205">
        <v>20</v>
      </c>
      <c r="H8" s="205">
        <v>71</v>
      </c>
      <c r="I8" s="238">
        <f t="shared" si="0"/>
        <v>150</v>
      </c>
      <c r="J8" s="235">
        <f t="shared" si="1"/>
        <v>25</v>
      </c>
      <c r="K8">
        <v>15.2</v>
      </c>
    </row>
    <row r="9" spans="1:11" ht="12.9" x14ac:dyDescent="0.35">
      <c r="A9" s="184">
        <v>78</v>
      </c>
      <c r="B9" s="185" t="s">
        <v>106</v>
      </c>
      <c r="C9" s="205">
        <v>5</v>
      </c>
      <c r="D9" s="205">
        <v>16</v>
      </c>
      <c r="E9" s="205">
        <v>4</v>
      </c>
      <c r="F9" s="205">
        <v>7</v>
      </c>
      <c r="G9" s="205">
        <v>13</v>
      </c>
      <c r="H9" s="205">
        <v>1</v>
      </c>
      <c r="I9" s="238">
        <f t="shared" si="0"/>
        <v>46</v>
      </c>
      <c r="J9" s="235">
        <f t="shared" si="1"/>
        <v>7.666666666666667</v>
      </c>
      <c r="K9">
        <v>8.6</v>
      </c>
    </row>
    <row r="10" spans="1:11" ht="12.9" x14ac:dyDescent="0.35">
      <c r="A10" s="184">
        <v>83</v>
      </c>
      <c r="B10" s="185" t="s">
        <v>107</v>
      </c>
      <c r="C10" s="206">
        <v>32</v>
      </c>
      <c r="D10" s="206">
        <v>6</v>
      </c>
      <c r="E10" s="206">
        <v>76</v>
      </c>
      <c r="F10" s="206">
        <v>42</v>
      </c>
      <c r="G10" s="206">
        <v>76</v>
      </c>
      <c r="H10" s="206">
        <v>351</v>
      </c>
      <c r="I10" s="238">
        <f t="shared" si="0"/>
        <v>583</v>
      </c>
      <c r="J10" s="235">
        <f t="shared" si="1"/>
        <v>97.166666666666671</v>
      </c>
      <c r="K10">
        <v>42</v>
      </c>
    </row>
    <row r="11" spans="1:11" ht="12.9" x14ac:dyDescent="0.35">
      <c r="A11" s="184">
        <v>84</v>
      </c>
      <c r="B11" s="185" t="s">
        <v>41</v>
      </c>
      <c r="C11" s="205">
        <v>23</v>
      </c>
      <c r="D11" s="205">
        <v>77</v>
      </c>
      <c r="E11" s="205">
        <v>121</v>
      </c>
      <c r="F11" s="205">
        <v>102</v>
      </c>
      <c r="G11" s="205">
        <v>18</v>
      </c>
      <c r="H11" s="205">
        <v>17</v>
      </c>
      <c r="I11" s="238">
        <f t="shared" si="0"/>
        <v>358</v>
      </c>
      <c r="J11" s="235">
        <f t="shared" si="1"/>
        <v>59.666666666666664</v>
      </c>
      <c r="K11">
        <v>26.166666666666668</v>
      </c>
    </row>
    <row r="12" spans="1:11" ht="12.9" x14ac:dyDescent="0.35">
      <c r="A12" s="184">
        <v>85</v>
      </c>
      <c r="B12" s="185" t="s">
        <v>108</v>
      </c>
      <c r="C12" s="205">
        <v>121</v>
      </c>
      <c r="D12" s="205">
        <v>131</v>
      </c>
      <c r="E12" s="205">
        <v>340</v>
      </c>
      <c r="F12" s="205">
        <v>135</v>
      </c>
      <c r="G12" s="205" t="s">
        <v>164</v>
      </c>
      <c r="H12" s="205" t="s">
        <v>69</v>
      </c>
      <c r="I12" s="238">
        <f t="shared" si="0"/>
        <v>727</v>
      </c>
      <c r="J12" s="235">
        <f>I12/5</f>
        <v>145.4</v>
      </c>
      <c r="K12">
        <v>49.833333333333336</v>
      </c>
    </row>
    <row r="13" spans="1:11" ht="12.9" x14ac:dyDescent="0.35">
      <c r="A13" s="184">
        <v>87</v>
      </c>
      <c r="B13" s="185" t="s">
        <v>109</v>
      </c>
      <c r="C13" s="266" t="s">
        <v>163</v>
      </c>
      <c r="D13" s="267"/>
      <c r="E13" s="267"/>
      <c r="F13" s="267"/>
      <c r="G13" s="267"/>
      <c r="H13" s="267"/>
      <c r="I13" s="268"/>
      <c r="J13" s="207">
        <f>AVERAGE(J3:J12)</f>
        <v>68.070000000000007</v>
      </c>
      <c r="K13">
        <v>19.600000000000001</v>
      </c>
    </row>
    <row r="14" spans="1:11" x14ac:dyDescent="0.3">
      <c r="A14" s="168"/>
      <c r="B14" s="169" t="s">
        <v>9</v>
      </c>
      <c r="I14" s="208">
        <f>SUM(I3:I13)</f>
        <v>3732</v>
      </c>
      <c r="J14" s="208" t="s">
        <v>20</v>
      </c>
    </row>
  </sheetData>
  <mergeCells count="1">
    <mergeCell ref="C13:I1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2:J14"/>
  <sheetViews>
    <sheetView workbookViewId="0">
      <selection activeCell="M7" sqref="M7"/>
    </sheetView>
  </sheetViews>
  <sheetFormatPr defaultColWidth="8.765625" defaultRowHeight="12.45" x14ac:dyDescent="0.3"/>
  <cols>
    <col min="2" max="2" width="12.4609375" customWidth="1"/>
    <col min="3" max="8" width="9" bestFit="1" customWidth="1"/>
    <col min="9" max="9" width="9.69140625" bestFit="1" customWidth="1"/>
    <col min="10" max="10" width="9" bestFit="1" customWidth="1"/>
  </cols>
  <sheetData>
    <row r="2" spans="1:10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</row>
    <row r="3" spans="1:10" ht="12.9" x14ac:dyDescent="0.35">
      <c r="A3" s="184">
        <v>66</v>
      </c>
      <c r="B3" s="185" t="s">
        <v>52</v>
      </c>
      <c r="C3" s="269" t="s">
        <v>162</v>
      </c>
      <c r="D3" s="270"/>
      <c r="E3" s="270"/>
      <c r="F3" s="270"/>
      <c r="G3" s="270"/>
      <c r="H3" s="270"/>
      <c r="I3" s="271"/>
      <c r="J3" s="235"/>
    </row>
    <row r="4" spans="1:10" ht="12.9" x14ac:dyDescent="0.35">
      <c r="A4" s="184">
        <v>72</v>
      </c>
      <c r="B4" s="186" t="s">
        <v>34</v>
      </c>
      <c r="C4" s="206">
        <v>10</v>
      </c>
      <c r="D4" s="206">
        <v>25</v>
      </c>
      <c r="E4" s="206">
        <v>25</v>
      </c>
      <c r="F4" s="206">
        <v>130</v>
      </c>
      <c r="G4" s="206">
        <v>58</v>
      </c>
      <c r="H4" s="206" t="s">
        <v>69</v>
      </c>
      <c r="I4" s="176">
        <f>SUM(C4:H4)</f>
        <v>248</v>
      </c>
      <c r="J4" s="207">
        <f>I4/5</f>
        <v>49.6</v>
      </c>
    </row>
    <row r="5" spans="1:10" ht="12.9" x14ac:dyDescent="0.35">
      <c r="A5" s="184">
        <v>73</v>
      </c>
      <c r="B5" s="185" t="s">
        <v>102</v>
      </c>
      <c r="C5" s="205">
        <v>41</v>
      </c>
      <c r="D5" s="205">
        <v>22</v>
      </c>
      <c r="E5" s="205">
        <v>8</v>
      </c>
      <c r="F5" s="205">
        <v>18</v>
      </c>
      <c r="G5" s="205">
        <v>4</v>
      </c>
      <c r="H5" s="205" t="s">
        <v>69</v>
      </c>
      <c r="I5" s="176">
        <f t="shared" ref="I5:I13" si="0">SUM(C5:H5)</f>
        <v>93</v>
      </c>
      <c r="J5" s="207">
        <f t="shared" ref="J5:J13" si="1">I5/5</f>
        <v>18.600000000000001</v>
      </c>
    </row>
    <row r="6" spans="1:10" ht="12.9" x14ac:dyDescent="0.35">
      <c r="A6" s="184">
        <v>74</v>
      </c>
      <c r="B6" s="185" t="s">
        <v>37</v>
      </c>
      <c r="C6" s="205">
        <v>37</v>
      </c>
      <c r="D6" s="205">
        <v>23</v>
      </c>
      <c r="E6" s="205">
        <v>44</v>
      </c>
      <c r="F6" s="205">
        <v>65</v>
      </c>
      <c r="G6" s="205">
        <v>37</v>
      </c>
      <c r="H6" s="205">
        <v>41</v>
      </c>
      <c r="I6" s="176">
        <f t="shared" si="0"/>
        <v>247</v>
      </c>
      <c r="J6" s="207">
        <f>I6/6</f>
        <v>41.166666666666664</v>
      </c>
    </row>
    <row r="7" spans="1:10" ht="12.9" x14ac:dyDescent="0.35">
      <c r="A7" s="184">
        <v>75</v>
      </c>
      <c r="B7" s="185" t="s">
        <v>104</v>
      </c>
      <c r="C7" s="205">
        <v>20</v>
      </c>
      <c r="D7" s="205">
        <v>15</v>
      </c>
      <c r="E7" s="205">
        <v>39</v>
      </c>
      <c r="F7" s="205">
        <v>14</v>
      </c>
      <c r="G7" s="205">
        <v>21</v>
      </c>
      <c r="H7" s="205">
        <v>28</v>
      </c>
      <c r="I7" s="176">
        <f t="shared" si="0"/>
        <v>137</v>
      </c>
      <c r="J7" s="207">
        <f>I7/6</f>
        <v>22.833333333333332</v>
      </c>
    </row>
    <row r="8" spans="1:10" ht="12.9" x14ac:dyDescent="0.35">
      <c r="A8" s="184">
        <v>76</v>
      </c>
      <c r="B8" s="185" t="s">
        <v>105</v>
      </c>
      <c r="C8" s="205">
        <v>20</v>
      </c>
      <c r="D8" s="205">
        <v>18</v>
      </c>
      <c r="E8" s="205">
        <v>9</v>
      </c>
      <c r="F8" s="205">
        <v>21</v>
      </c>
      <c r="G8" s="205">
        <v>8</v>
      </c>
      <c r="H8" s="205" t="s">
        <v>69</v>
      </c>
      <c r="I8" s="176">
        <f t="shared" si="0"/>
        <v>76</v>
      </c>
      <c r="J8" s="207">
        <f t="shared" si="1"/>
        <v>15.2</v>
      </c>
    </row>
    <row r="9" spans="1:10" ht="12.9" x14ac:dyDescent="0.35">
      <c r="A9" s="184">
        <v>78</v>
      </c>
      <c r="B9" s="185" t="s">
        <v>106</v>
      </c>
      <c r="C9" s="205">
        <v>14</v>
      </c>
      <c r="D9" s="205">
        <v>13</v>
      </c>
      <c r="E9" s="205">
        <v>0</v>
      </c>
      <c r="F9" s="205">
        <v>3</v>
      </c>
      <c r="G9" s="205">
        <v>13</v>
      </c>
      <c r="H9" s="205" t="s">
        <v>69</v>
      </c>
      <c r="I9" s="176">
        <f t="shared" si="0"/>
        <v>43</v>
      </c>
      <c r="J9" s="207">
        <f t="shared" si="1"/>
        <v>8.6</v>
      </c>
    </row>
    <row r="10" spans="1:10" ht="12.9" x14ac:dyDescent="0.35">
      <c r="A10" s="184">
        <v>83</v>
      </c>
      <c r="B10" s="185" t="s">
        <v>107</v>
      </c>
      <c r="C10" s="206">
        <v>8</v>
      </c>
      <c r="D10" s="206">
        <v>31</v>
      </c>
      <c r="E10" s="206">
        <v>128</v>
      </c>
      <c r="F10" s="206">
        <v>19</v>
      </c>
      <c r="G10" s="206">
        <v>38</v>
      </c>
      <c r="H10" s="206">
        <v>28</v>
      </c>
      <c r="I10" s="176">
        <f t="shared" si="0"/>
        <v>252</v>
      </c>
      <c r="J10" s="207">
        <f>I10/6</f>
        <v>42</v>
      </c>
    </row>
    <row r="11" spans="1:10" ht="12.9" x14ac:dyDescent="0.35">
      <c r="A11" s="184">
        <v>84</v>
      </c>
      <c r="B11" s="185" t="s">
        <v>41</v>
      </c>
      <c r="C11" s="205">
        <v>21</v>
      </c>
      <c r="D11" s="205">
        <v>20</v>
      </c>
      <c r="E11" s="205">
        <v>10</v>
      </c>
      <c r="F11" s="205">
        <v>25</v>
      </c>
      <c r="G11" s="205">
        <v>18</v>
      </c>
      <c r="H11" s="205">
        <v>63</v>
      </c>
      <c r="I11" s="176">
        <f t="shared" si="0"/>
        <v>157</v>
      </c>
      <c r="J11" s="207">
        <f t="shared" ref="J11:J12" si="2">I11/6</f>
        <v>26.166666666666668</v>
      </c>
    </row>
    <row r="12" spans="1:10" ht="12.9" x14ac:dyDescent="0.35">
      <c r="A12" s="184">
        <v>85</v>
      </c>
      <c r="B12" s="185" t="s">
        <v>108</v>
      </c>
      <c r="C12" s="205">
        <v>130</v>
      </c>
      <c r="D12" s="205">
        <v>53</v>
      </c>
      <c r="E12" s="205">
        <v>32</v>
      </c>
      <c r="F12" s="205">
        <v>20</v>
      </c>
      <c r="G12" s="205">
        <v>41</v>
      </c>
      <c r="H12" s="205">
        <v>23</v>
      </c>
      <c r="I12" s="176">
        <f t="shared" si="0"/>
        <v>299</v>
      </c>
      <c r="J12" s="207">
        <f t="shared" si="2"/>
        <v>49.833333333333336</v>
      </c>
    </row>
    <row r="13" spans="1:10" ht="12.9" x14ac:dyDescent="0.35">
      <c r="A13" s="184">
        <v>87</v>
      </c>
      <c r="B13" s="185" t="s">
        <v>109</v>
      </c>
      <c r="C13" s="206">
        <v>8</v>
      </c>
      <c r="D13" s="205">
        <v>23</v>
      </c>
      <c r="E13" s="205">
        <v>28</v>
      </c>
      <c r="F13" s="205">
        <v>18</v>
      </c>
      <c r="G13" s="205">
        <v>21</v>
      </c>
      <c r="H13" s="205" t="s">
        <v>69</v>
      </c>
      <c r="I13" s="176">
        <f t="shared" si="0"/>
        <v>98</v>
      </c>
      <c r="J13" s="207">
        <f t="shared" si="1"/>
        <v>19.600000000000001</v>
      </c>
    </row>
    <row r="14" spans="1:10" x14ac:dyDescent="0.3">
      <c r="A14" s="168"/>
      <c r="B14" s="169" t="s">
        <v>9</v>
      </c>
      <c r="I14" s="208">
        <f>SUM(I3:I13)</f>
        <v>1650</v>
      </c>
      <c r="J14" s="208" t="s">
        <v>20</v>
      </c>
    </row>
  </sheetData>
  <mergeCells count="1">
    <mergeCell ref="C3:I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2:J14"/>
  <sheetViews>
    <sheetView workbookViewId="0">
      <selection activeCell="J3" sqref="J3:J13"/>
    </sheetView>
  </sheetViews>
  <sheetFormatPr defaultColWidth="8.765625" defaultRowHeight="12.45" x14ac:dyDescent="0.3"/>
  <cols>
    <col min="2" max="2" width="12.4609375" customWidth="1"/>
    <col min="3" max="8" width="9" bestFit="1" customWidth="1"/>
    <col min="9" max="9" width="9.69140625" bestFit="1" customWidth="1"/>
    <col min="10" max="10" width="9" bestFit="1" customWidth="1"/>
  </cols>
  <sheetData>
    <row r="2" spans="1:10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</row>
    <row r="3" spans="1:10" ht="12.9" x14ac:dyDescent="0.35">
      <c r="A3" s="184">
        <v>66</v>
      </c>
      <c r="B3" s="185" t="s">
        <v>52</v>
      </c>
      <c r="C3" s="205">
        <v>3</v>
      </c>
      <c r="D3" s="205">
        <v>2</v>
      </c>
      <c r="E3" s="205">
        <v>1</v>
      </c>
      <c r="F3" s="205">
        <v>0</v>
      </c>
      <c r="G3" s="205">
        <v>0</v>
      </c>
      <c r="H3" s="205">
        <v>0</v>
      </c>
      <c r="I3" s="176">
        <f>SUM(C3:H3)</f>
        <v>6</v>
      </c>
      <c r="J3" s="207">
        <f>AVERAGE(C3:H3)</f>
        <v>1</v>
      </c>
    </row>
    <row r="4" spans="1:10" ht="12.9" x14ac:dyDescent="0.35">
      <c r="A4" s="184">
        <v>72</v>
      </c>
      <c r="B4" s="186" t="s">
        <v>34</v>
      </c>
      <c r="C4" s="206">
        <v>0</v>
      </c>
      <c r="D4" s="206">
        <v>0</v>
      </c>
      <c r="E4" s="206">
        <v>0</v>
      </c>
      <c r="F4" s="206">
        <v>1</v>
      </c>
      <c r="G4" s="206">
        <v>2</v>
      </c>
      <c r="H4" s="206" t="s">
        <v>69</v>
      </c>
      <c r="I4" s="176">
        <f>SUM(C4:H4)</f>
        <v>3</v>
      </c>
      <c r="J4" s="207">
        <f>AVERAGE(C4:G4)</f>
        <v>0.6</v>
      </c>
    </row>
    <row r="5" spans="1:10" ht="12.9" x14ac:dyDescent="0.35">
      <c r="A5" s="184">
        <v>73</v>
      </c>
      <c r="B5" s="185" t="s">
        <v>102</v>
      </c>
      <c r="C5" s="205">
        <v>2</v>
      </c>
      <c r="D5" s="205">
        <v>3</v>
      </c>
      <c r="E5" s="205">
        <v>4</v>
      </c>
      <c r="F5" s="205">
        <v>5</v>
      </c>
      <c r="G5" s="205">
        <v>0</v>
      </c>
      <c r="H5" s="205" t="s">
        <v>69</v>
      </c>
      <c r="I5" s="176">
        <f t="shared" ref="I5:I13" si="0">SUM(C5:H5)</f>
        <v>14</v>
      </c>
      <c r="J5" s="207">
        <f>AVERAGE(C5:G5)</f>
        <v>2.8</v>
      </c>
    </row>
    <row r="6" spans="1:10" ht="12.9" x14ac:dyDescent="0.35">
      <c r="A6" s="184">
        <v>74</v>
      </c>
      <c r="B6" s="185" t="s">
        <v>37</v>
      </c>
      <c r="C6" s="205">
        <v>9</v>
      </c>
      <c r="D6" s="205">
        <v>4</v>
      </c>
      <c r="E6" s="205">
        <v>1</v>
      </c>
      <c r="F6" s="205">
        <v>0</v>
      </c>
      <c r="G6" s="205">
        <v>0</v>
      </c>
      <c r="H6" s="205">
        <v>1</v>
      </c>
      <c r="I6" s="176">
        <f t="shared" si="0"/>
        <v>15</v>
      </c>
      <c r="J6" s="207">
        <f t="shared" ref="J6:J13" si="1">AVERAGE(C6:H6)</f>
        <v>2.5</v>
      </c>
    </row>
    <row r="7" spans="1:10" ht="12.9" x14ac:dyDescent="0.35">
      <c r="A7" s="184">
        <v>75</v>
      </c>
      <c r="B7" s="185" t="s">
        <v>104</v>
      </c>
      <c r="C7" s="205">
        <v>1</v>
      </c>
      <c r="D7" s="205">
        <v>2</v>
      </c>
      <c r="E7" s="205">
        <v>4</v>
      </c>
      <c r="F7" s="205">
        <v>5</v>
      </c>
      <c r="G7" s="205">
        <v>15</v>
      </c>
      <c r="H7" s="205">
        <v>26</v>
      </c>
      <c r="I7" s="176">
        <f t="shared" si="0"/>
        <v>53</v>
      </c>
      <c r="J7" s="207">
        <f t="shared" si="1"/>
        <v>8.8333333333333339</v>
      </c>
    </row>
    <row r="8" spans="1:10" ht="12.9" x14ac:dyDescent="0.35">
      <c r="A8" s="184">
        <v>76</v>
      </c>
      <c r="B8" s="185" t="s">
        <v>105</v>
      </c>
      <c r="C8" s="205">
        <v>2</v>
      </c>
      <c r="D8" s="205">
        <v>1</v>
      </c>
      <c r="E8" s="205">
        <v>3</v>
      </c>
      <c r="F8" s="205">
        <v>0</v>
      </c>
      <c r="G8" s="205">
        <v>0</v>
      </c>
      <c r="H8" s="205">
        <v>0</v>
      </c>
      <c r="I8" s="176">
        <f t="shared" si="0"/>
        <v>6</v>
      </c>
      <c r="J8" s="207">
        <f t="shared" si="1"/>
        <v>1</v>
      </c>
    </row>
    <row r="9" spans="1:10" ht="12.9" x14ac:dyDescent="0.35">
      <c r="A9" s="184">
        <v>78</v>
      </c>
      <c r="B9" s="185" t="s">
        <v>106</v>
      </c>
      <c r="C9" s="205">
        <v>1</v>
      </c>
      <c r="D9" s="205">
        <v>2</v>
      </c>
      <c r="E9" s="205">
        <v>2</v>
      </c>
      <c r="F9" s="205">
        <v>4</v>
      </c>
      <c r="G9" s="205">
        <v>8</v>
      </c>
      <c r="H9" s="205">
        <v>0</v>
      </c>
      <c r="I9" s="176">
        <f t="shared" si="0"/>
        <v>17</v>
      </c>
      <c r="J9" s="207">
        <f t="shared" si="1"/>
        <v>2.8333333333333335</v>
      </c>
    </row>
    <row r="10" spans="1:10" ht="12.9" x14ac:dyDescent="0.35">
      <c r="A10" s="184">
        <v>83</v>
      </c>
      <c r="B10" s="185" t="s">
        <v>107</v>
      </c>
      <c r="C10" s="206">
        <v>0</v>
      </c>
      <c r="D10" s="206">
        <v>0</v>
      </c>
      <c r="E10" s="206">
        <v>0</v>
      </c>
      <c r="F10" s="206">
        <v>0</v>
      </c>
      <c r="G10" s="206">
        <v>0</v>
      </c>
      <c r="H10" s="206">
        <v>0</v>
      </c>
      <c r="I10" s="212">
        <f>SUM(C10:H10)</f>
        <v>0</v>
      </c>
      <c r="J10" s="207">
        <f t="shared" si="1"/>
        <v>0</v>
      </c>
    </row>
    <row r="11" spans="1:10" ht="12.9" x14ac:dyDescent="0.35">
      <c r="A11" s="184">
        <v>84</v>
      </c>
      <c r="B11" s="185" t="s">
        <v>41</v>
      </c>
      <c r="C11" s="205">
        <v>3</v>
      </c>
      <c r="D11" s="205">
        <v>3</v>
      </c>
      <c r="E11" s="205">
        <v>2</v>
      </c>
      <c r="F11" s="205">
        <v>2</v>
      </c>
      <c r="G11" s="205">
        <v>0</v>
      </c>
      <c r="H11" s="205">
        <v>0</v>
      </c>
      <c r="I11" s="176">
        <f t="shared" si="0"/>
        <v>10</v>
      </c>
      <c r="J11" s="207">
        <f t="shared" si="1"/>
        <v>1.6666666666666667</v>
      </c>
    </row>
    <row r="12" spans="1:10" ht="12.9" x14ac:dyDescent="0.35">
      <c r="A12" s="184">
        <v>85</v>
      </c>
      <c r="B12" s="185" t="s">
        <v>108</v>
      </c>
      <c r="C12" s="205">
        <v>1</v>
      </c>
      <c r="D12" s="205">
        <v>1</v>
      </c>
      <c r="E12" s="205">
        <v>1</v>
      </c>
      <c r="F12" s="205">
        <v>7</v>
      </c>
      <c r="G12" s="205">
        <v>1</v>
      </c>
      <c r="H12" s="205">
        <v>0</v>
      </c>
      <c r="I12" s="176">
        <f t="shared" si="0"/>
        <v>11</v>
      </c>
      <c r="J12" s="207">
        <f t="shared" si="1"/>
        <v>1.8333333333333333</v>
      </c>
    </row>
    <row r="13" spans="1:10" ht="12.9" x14ac:dyDescent="0.35">
      <c r="A13" s="184">
        <v>87</v>
      </c>
      <c r="B13" s="185" t="s">
        <v>109</v>
      </c>
      <c r="C13" s="206">
        <v>1</v>
      </c>
      <c r="D13" s="205">
        <v>2</v>
      </c>
      <c r="E13" s="205">
        <v>5</v>
      </c>
      <c r="F13" s="205">
        <v>8</v>
      </c>
      <c r="G13" s="205">
        <v>13</v>
      </c>
      <c r="H13" s="205">
        <v>0</v>
      </c>
      <c r="I13" s="176">
        <f t="shared" si="0"/>
        <v>29</v>
      </c>
      <c r="J13" s="207">
        <f t="shared" si="1"/>
        <v>4.833333333333333</v>
      </c>
    </row>
    <row r="14" spans="1:10" x14ac:dyDescent="0.3">
      <c r="A14" s="168"/>
      <c r="B14" s="169" t="s">
        <v>9</v>
      </c>
      <c r="I14" s="208">
        <f>SUM(I3:I13)</f>
        <v>164</v>
      </c>
      <c r="J14" s="208" t="s">
        <v>20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</sheetPr>
  <dimension ref="A2:J14"/>
  <sheetViews>
    <sheetView workbookViewId="0">
      <selection activeCell="I14" sqref="I14"/>
    </sheetView>
  </sheetViews>
  <sheetFormatPr defaultColWidth="8.765625" defaultRowHeight="12.45" x14ac:dyDescent="0.3"/>
  <cols>
    <col min="2" max="2" width="12.4609375" customWidth="1"/>
    <col min="3" max="8" width="9" bestFit="1" customWidth="1"/>
    <col min="9" max="9" width="9.69140625" bestFit="1" customWidth="1"/>
    <col min="10" max="10" width="9" bestFit="1" customWidth="1"/>
  </cols>
  <sheetData>
    <row r="2" spans="1:10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</row>
    <row r="3" spans="1:10" ht="12.9" x14ac:dyDescent="0.35">
      <c r="A3" s="184">
        <v>66</v>
      </c>
      <c r="B3" s="185" t="s">
        <v>52</v>
      </c>
      <c r="C3" s="205">
        <v>2</v>
      </c>
      <c r="D3" s="205">
        <v>2</v>
      </c>
      <c r="E3" s="205">
        <v>2</v>
      </c>
      <c r="F3" s="205">
        <v>3</v>
      </c>
      <c r="G3" s="205">
        <v>2</v>
      </c>
      <c r="H3" s="205">
        <v>1</v>
      </c>
      <c r="I3" s="176">
        <f>SUM(C3:H3)</f>
        <v>12</v>
      </c>
      <c r="J3" s="207">
        <f>AVERAGE(C3:H3)</f>
        <v>2</v>
      </c>
    </row>
    <row r="4" spans="1:10" ht="12.9" x14ac:dyDescent="0.35">
      <c r="A4" s="184">
        <v>72</v>
      </c>
      <c r="B4" s="186" t="s">
        <v>34</v>
      </c>
      <c r="C4" s="206">
        <v>7</v>
      </c>
      <c r="D4" s="206">
        <v>0</v>
      </c>
      <c r="E4" s="206" t="s">
        <v>155</v>
      </c>
      <c r="F4" s="206" t="s">
        <v>155</v>
      </c>
      <c r="G4" s="206">
        <v>12</v>
      </c>
      <c r="H4" s="206">
        <v>58</v>
      </c>
      <c r="I4" s="176">
        <f>SUM(C4:H4)</f>
        <v>77</v>
      </c>
      <c r="J4" s="207">
        <v>19.2</v>
      </c>
    </row>
    <row r="5" spans="1:10" ht="12.9" x14ac:dyDescent="0.35">
      <c r="A5" s="184">
        <v>73</v>
      </c>
      <c r="B5" s="185" t="s">
        <v>102</v>
      </c>
      <c r="C5" s="205">
        <v>1</v>
      </c>
      <c r="D5" s="205">
        <v>2</v>
      </c>
      <c r="E5" s="205">
        <v>2</v>
      </c>
      <c r="F5" s="205">
        <v>3</v>
      </c>
      <c r="G5" s="205">
        <v>4</v>
      </c>
      <c r="H5" s="205">
        <v>4</v>
      </c>
      <c r="I5" s="176">
        <f t="shared" ref="I5:I13" si="0">SUM(C5:H5)</f>
        <v>16</v>
      </c>
      <c r="J5" s="207">
        <f t="shared" ref="J5:J13" si="1">AVERAGE(C5:H5)</f>
        <v>2.6666666666666665</v>
      </c>
    </row>
    <row r="6" spans="1:10" ht="12.9" x14ac:dyDescent="0.35">
      <c r="A6" s="184">
        <v>74</v>
      </c>
      <c r="B6" s="185" t="s">
        <v>37</v>
      </c>
      <c r="C6" s="205">
        <v>1</v>
      </c>
      <c r="D6" s="205">
        <v>0</v>
      </c>
      <c r="E6" s="205">
        <v>2</v>
      </c>
      <c r="F6" s="205">
        <v>3</v>
      </c>
      <c r="G6" s="205">
        <v>5</v>
      </c>
      <c r="H6" s="205">
        <v>1</v>
      </c>
      <c r="I6" s="176">
        <f t="shared" si="0"/>
        <v>12</v>
      </c>
      <c r="J6" s="207">
        <f t="shared" si="1"/>
        <v>2</v>
      </c>
    </row>
    <row r="7" spans="1:10" ht="12.9" x14ac:dyDescent="0.35">
      <c r="A7" s="184">
        <v>75</v>
      </c>
      <c r="B7" s="185" t="s">
        <v>104</v>
      </c>
      <c r="C7" s="205">
        <v>1</v>
      </c>
      <c r="D7" s="205">
        <v>4</v>
      </c>
      <c r="E7" s="205">
        <v>7</v>
      </c>
      <c r="F7" s="205">
        <v>16</v>
      </c>
      <c r="G7" s="205">
        <v>16</v>
      </c>
      <c r="H7" s="205" t="s">
        <v>155</v>
      </c>
      <c r="I7" s="176">
        <f t="shared" si="0"/>
        <v>44</v>
      </c>
      <c r="J7" s="207">
        <f t="shared" si="1"/>
        <v>8.8000000000000007</v>
      </c>
    </row>
    <row r="8" spans="1:10" ht="12.9" x14ac:dyDescent="0.35">
      <c r="A8" s="184">
        <v>76</v>
      </c>
      <c r="B8" s="185" t="s">
        <v>105</v>
      </c>
      <c r="C8" s="205">
        <v>0</v>
      </c>
      <c r="D8" s="205">
        <v>0</v>
      </c>
      <c r="E8" s="205">
        <v>1</v>
      </c>
      <c r="F8" s="205">
        <v>3</v>
      </c>
      <c r="G8" s="205">
        <v>8</v>
      </c>
      <c r="H8" s="205" t="s">
        <v>155</v>
      </c>
      <c r="I8" s="176">
        <f t="shared" si="0"/>
        <v>12</v>
      </c>
      <c r="J8" s="207">
        <f t="shared" si="1"/>
        <v>2.4</v>
      </c>
    </row>
    <row r="9" spans="1:10" ht="12.9" x14ac:dyDescent="0.35">
      <c r="A9" s="184">
        <v>78</v>
      </c>
      <c r="B9" s="185" t="s">
        <v>106</v>
      </c>
      <c r="C9" s="205">
        <v>0</v>
      </c>
      <c r="D9" s="205">
        <v>11</v>
      </c>
      <c r="E9" s="205">
        <v>4</v>
      </c>
      <c r="F9" s="205">
        <v>7</v>
      </c>
      <c r="G9" s="205">
        <v>6</v>
      </c>
      <c r="H9" s="205">
        <v>2</v>
      </c>
      <c r="I9" s="176">
        <f t="shared" si="0"/>
        <v>30</v>
      </c>
      <c r="J9" s="207">
        <f t="shared" si="1"/>
        <v>5</v>
      </c>
    </row>
    <row r="10" spans="1:10" ht="12.9" x14ac:dyDescent="0.35">
      <c r="A10" s="184">
        <v>83</v>
      </c>
      <c r="B10" s="185" t="s">
        <v>107</v>
      </c>
      <c r="C10" s="206">
        <v>6</v>
      </c>
      <c r="D10" s="206">
        <v>2</v>
      </c>
      <c r="E10" s="206">
        <v>21</v>
      </c>
      <c r="F10" s="206">
        <v>17</v>
      </c>
      <c r="G10" s="206">
        <v>7</v>
      </c>
      <c r="H10" s="206">
        <v>12</v>
      </c>
      <c r="I10" s="176">
        <f t="shared" si="0"/>
        <v>65</v>
      </c>
      <c r="J10" s="207">
        <f t="shared" si="1"/>
        <v>10.833333333333334</v>
      </c>
    </row>
    <row r="11" spans="1:10" ht="12.9" x14ac:dyDescent="0.35">
      <c r="A11" s="184">
        <v>84</v>
      </c>
      <c r="B11" s="185" t="s">
        <v>41</v>
      </c>
      <c r="C11" s="205">
        <v>1</v>
      </c>
      <c r="D11" s="205">
        <v>1</v>
      </c>
      <c r="E11" s="205">
        <v>5</v>
      </c>
      <c r="F11" s="205">
        <v>8</v>
      </c>
      <c r="G11" s="205">
        <v>10</v>
      </c>
      <c r="H11" s="205">
        <v>0</v>
      </c>
      <c r="I11" s="176">
        <f t="shared" si="0"/>
        <v>25</v>
      </c>
      <c r="J11" s="207">
        <f t="shared" si="1"/>
        <v>4.166666666666667</v>
      </c>
    </row>
    <row r="12" spans="1:10" ht="12.9" x14ac:dyDescent="0.35">
      <c r="A12" s="184">
        <v>85</v>
      </c>
      <c r="B12" s="185" t="s">
        <v>108</v>
      </c>
      <c r="C12" s="205">
        <v>18</v>
      </c>
      <c r="D12" s="205">
        <v>7</v>
      </c>
      <c r="E12" s="205">
        <v>12</v>
      </c>
      <c r="F12" s="205">
        <v>3</v>
      </c>
      <c r="G12" s="205">
        <v>1</v>
      </c>
      <c r="H12" s="205">
        <v>10</v>
      </c>
      <c r="I12" s="176">
        <f t="shared" si="0"/>
        <v>51</v>
      </c>
      <c r="J12" s="207">
        <f t="shared" si="1"/>
        <v>8.5</v>
      </c>
    </row>
    <row r="13" spans="1:10" ht="12.9" x14ac:dyDescent="0.35">
      <c r="A13" s="184">
        <v>87</v>
      </c>
      <c r="B13" s="185" t="s">
        <v>109</v>
      </c>
      <c r="C13" s="206">
        <v>12</v>
      </c>
      <c r="D13" s="205">
        <v>3</v>
      </c>
      <c r="E13" s="205">
        <v>2</v>
      </c>
      <c r="F13" s="205">
        <v>0</v>
      </c>
      <c r="G13" s="205">
        <v>0</v>
      </c>
      <c r="H13" s="205">
        <v>0</v>
      </c>
      <c r="I13" s="176">
        <f t="shared" si="0"/>
        <v>17</v>
      </c>
      <c r="J13" s="207">
        <f t="shared" si="1"/>
        <v>2.8333333333333335</v>
      </c>
    </row>
    <row r="14" spans="1:10" x14ac:dyDescent="0.3">
      <c r="A14" s="168"/>
      <c r="B14" s="169"/>
      <c r="I14" s="208">
        <f>SUM(I3:I13)</f>
        <v>361</v>
      </c>
      <c r="J14" s="208">
        <f>AVERAGE(J3:J13)</f>
        <v>6.2181818181818178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39997558519241921"/>
  </sheetPr>
  <dimension ref="A1:J28"/>
  <sheetViews>
    <sheetView workbookViewId="0">
      <selection activeCell="I28" sqref="I28"/>
    </sheetView>
  </sheetViews>
  <sheetFormatPr defaultColWidth="8.765625" defaultRowHeight="12.45" x14ac:dyDescent="0.3"/>
  <cols>
    <col min="2" max="2" width="12.4609375" customWidth="1"/>
    <col min="3" max="8" width="9" bestFit="1" customWidth="1"/>
    <col min="9" max="9" width="9.69140625" bestFit="1" customWidth="1"/>
    <col min="10" max="10" width="9" bestFit="1" customWidth="1"/>
  </cols>
  <sheetData>
    <row r="1" spans="1:10" ht="12.9" x14ac:dyDescent="0.35">
      <c r="C1" s="272" t="s">
        <v>110</v>
      </c>
      <c r="D1" s="272"/>
      <c r="E1" s="272"/>
      <c r="F1" s="272"/>
      <c r="G1" s="272"/>
      <c r="H1" s="272"/>
    </row>
    <row r="2" spans="1:10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</row>
    <row r="3" spans="1:10" ht="12.9" x14ac:dyDescent="0.35">
      <c r="A3" s="184">
        <v>66</v>
      </c>
      <c r="B3" s="185" t="s">
        <v>52</v>
      </c>
      <c r="C3" s="187">
        <v>13</v>
      </c>
      <c r="D3" s="187">
        <v>37</v>
      </c>
      <c r="E3" s="187">
        <v>17</v>
      </c>
      <c r="F3" s="187">
        <v>26</v>
      </c>
      <c r="G3" s="187">
        <v>15</v>
      </c>
      <c r="H3" s="187">
        <v>15</v>
      </c>
      <c r="I3" s="176">
        <f>SUM(C3:H3)</f>
        <v>123</v>
      </c>
      <c r="J3" s="176">
        <f>AVERAGE(C3:H3)</f>
        <v>20.5</v>
      </c>
    </row>
    <row r="4" spans="1:10" ht="12.9" x14ac:dyDescent="0.35">
      <c r="A4" s="184">
        <v>72</v>
      </c>
      <c r="B4" s="186" t="s">
        <v>34</v>
      </c>
      <c r="C4" s="188">
        <v>3</v>
      </c>
      <c r="D4" s="188">
        <v>30</v>
      </c>
      <c r="E4" s="188">
        <v>18</v>
      </c>
      <c r="F4" s="188">
        <v>52</v>
      </c>
      <c r="G4" s="188">
        <v>12</v>
      </c>
      <c r="H4" s="188" t="s">
        <v>155</v>
      </c>
      <c r="I4" s="176">
        <f>SUM(C4:H4)</f>
        <v>115</v>
      </c>
      <c r="J4" s="176">
        <f t="shared" ref="J4:J13" si="0">AVERAGE(C4:H4)</f>
        <v>23</v>
      </c>
    </row>
    <row r="5" spans="1:10" ht="12.9" x14ac:dyDescent="0.35">
      <c r="A5" s="184">
        <v>73</v>
      </c>
      <c r="B5" s="185" t="s">
        <v>102</v>
      </c>
      <c r="C5" s="189">
        <v>14</v>
      </c>
      <c r="D5" s="189">
        <v>10</v>
      </c>
      <c r="E5" s="189">
        <v>10</v>
      </c>
      <c r="F5" s="189">
        <v>41</v>
      </c>
      <c r="G5" s="189">
        <v>46</v>
      </c>
      <c r="H5" s="189">
        <v>15</v>
      </c>
      <c r="I5" s="176">
        <f t="shared" ref="I5:I13" si="1">SUM(C5:H5)</f>
        <v>136</v>
      </c>
      <c r="J5" s="176">
        <f t="shared" si="0"/>
        <v>22.666666666666668</v>
      </c>
    </row>
    <row r="6" spans="1:10" ht="12.9" x14ac:dyDescent="0.35">
      <c r="A6" s="184">
        <v>74</v>
      </c>
      <c r="B6" s="185" t="s">
        <v>37</v>
      </c>
      <c r="C6" s="187">
        <v>2</v>
      </c>
      <c r="D6" s="187">
        <v>1</v>
      </c>
      <c r="E6" s="187">
        <v>8</v>
      </c>
      <c r="F6" s="187">
        <v>6</v>
      </c>
      <c r="G6" s="187">
        <v>3</v>
      </c>
      <c r="H6" s="187">
        <v>4</v>
      </c>
      <c r="I6" s="176">
        <f t="shared" si="1"/>
        <v>24</v>
      </c>
      <c r="J6" s="176">
        <f t="shared" si="0"/>
        <v>4</v>
      </c>
    </row>
    <row r="7" spans="1:10" ht="12.9" x14ac:dyDescent="0.35">
      <c r="A7" s="184">
        <v>75</v>
      </c>
      <c r="B7" s="185" t="s">
        <v>104</v>
      </c>
      <c r="C7" s="187">
        <v>35</v>
      </c>
      <c r="D7" s="187">
        <v>35</v>
      </c>
      <c r="E7" s="187">
        <v>25</v>
      </c>
      <c r="F7" s="187">
        <v>48</v>
      </c>
      <c r="G7" s="187">
        <v>13</v>
      </c>
      <c r="H7" s="187" t="s">
        <v>155</v>
      </c>
      <c r="I7" s="176">
        <f t="shared" si="1"/>
        <v>156</v>
      </c>
      <c r="J7" s="176">
        <f t="shared" si="0"/>
        <v>31.2</v>
      </c>
    </row>
    <row r="8" spans="1:10" ht="12.9" x14ac:dyDescent="0.35">
      <c r="A8" s="184">
        <v>76</v>
      </c>
      <c r="B8" s="185" t="s">
        <v>105</v>
      </c>
      <c r="C8" s="187">
        <v>6</v>
      </c>
      <c r="D8" s="187">
        <v>4</v>
      </c>
      <c r="E8" s="187">
        <v>10</v>
      </c>
      <c r="F8" s="187">
        <v>11</v>
      </c>
      <c r="G8" s="187">
        <v>3</v>
      </c>
      <c r="H8" s="187">
        <v>7</v>
      </c>
      <c r="I8" s="176">
        <f t="shared" si="1"/>
        <v>41</v>
      </c>
      <c r="J8" s="176">
        <f t="shared" si="0"/>
        <v>6.833333333333333</v>
      </c>
    </row>
    <row r="9" spans="1:10" ht="12.9" x14ac:dyDescent="0.35">
      <c r="A9" s="184">
        <v>78</v>
      </c>
      <c r="B9" s="185" t="s">
        <v>106</v>
      </c>
      <c r="C9" s="187">
        <v>27</v>
      </c>
      <c r="D9" s="187">
        <v>40</v>
      </c>
      <c r="E9" s="187">
        <v>17</v>
      </c>
      <c r="F9" s="187">
        <v>17</v>
      </c>
      <c r="G9" s="187">
        <v>17</v>
      </c>
      <c r="H9" s="187" t="s">
        <v>155</v>
      </c>
      <c r="I9" s="176">
        <f t="shared" si="1"/>
        <v>118</v>
      </c>
      <c r="J9" s="176">
        <f t="shared" si="0"/>
        <v>23.6</v>
      </c>
    </row>
    <row r="10" spans="1:10" ht="12.9" x14ac:dyDescent="0.35">
      <c r="A10" s="184">
        <v>83</v>
      </c>
      <c r="B10" s="185" t="s">
        <v>107</v>
      </c>
      <c r="C10" s="188">
        <v>12</v>
      </c>
      <c r="D10" s="188">
        <v>28</v>
      </c>
      <c r="E10" s="188">
        <v>17</v>
      </c>
      <c r="F10" s="188">
        <v>16</v>
      </c>
      <c r="G10" s="188">
        <v>40</v>
      </c>
      <c r="H10" s="188">
        <v>26</v>
      </c>
      <c r="I10" s="176">
        <f t="shared" si="1"/>
        <v>139</v>
      </c>
      <c r="J10" s="176">
        <f t="shared" si="0"/>
        <v>23.166666666666668</v>
      </c>
    </row>
    <row r="11" spans="1:10" ht="12.9" x14ac:dyDescent="0.35">
      <c r="A11" s="184">
        <v>84</v>
      </c>
      <c r="B11" s="185" t="s">
        <v>41</v>
      </c>
      <c r="C11" s="187">
        <v>2</v>
      </c>
      <c r="D11" s="187">
        <v>1</v>
      </c>
      <c r="E11" s="187">
        <v>1</v>
      </c>
      <c r="F11" s="187">
        <v>1</v>
      </c>
      <c r="G11" s="187">
        <v>1</v>
      </c>
      <c r="H11" s="187">
        <v>5</v>
      </c>
      <c r="I11" s="176">
        <f t="shared" si="1"/>
        <v>11</v>
      </c>
      <c r="J11" s="176">
        <f t="shared" si="0"/>
        <v>1.8333333333333333</v>
      </c>
    </row>
    <row r="12" spans="1:10" ht="12.9" x14ac:dyDescent="0.35">
      <c r="A12" s="184">
        <v>85</v>
      </c>
      <c r="B12" s="185" t="s">
        <v>108</v>
      </c>
      <c r="C12" s="187">
        <v>0</v>
      </c>
      <c r="D12" s="187">
        <v>5</v>
      </c>
      <c r="E12" s="187">
        <v>10</v>
      </c>
      <c r="F12" s="187">
        <v>11</v>
      </c>
      <c r="G12" s="187">
        <v>4</v>
      </c>
      <c r="H12" s="187">
        <v>3</v>
      </c>
      <c r="I12" s="176">
        <f t="shared" si="1"/>
        <v>33</v>
      </c>
      <c r="J12" s="176">
        <f t="shared" si="0"/>
        <v>5.5</v>
      </c>
    </row>
    <row r="13" spans="1:10" ht="12.9" x14ac:dyDescent="0.35">
      <c r="A13" s="184">
        <v>87</v>
      </c>
      <c r="B13" s="185" t="s">
        <v>109</v>
      </c>
      <c r="C13" s="188">
        <v>0</v>
      </c>
      <c r="D13" s="187">
        <v>3</v>
      </c>
      <c r="E13" s="187">
        <v>6</v>
      </c>
      <c r="F13" s="187">
        <v>0</v>
      </c>
      <c r="G13" s="187">
        <v>11</v>
      </c>
      <c r="H13" s="187" t="s">
        <v>155</v>
      </c>
      <c r="I13" s="176">
        <f t="shared" si="1"/>
        <v>20</v>
      </c>
      <c r="J13" s="176">
        <f t="shared" si="0"/>
        <v>4</v>
      </c>
    </row>
    <row r="14" spans="1:10" x14ac:dyDescent="0.3">
      <c r="A14" s="168"/>
      <c r="B14" s="169"/>
      <c r="I14" s="208">
        <f>SUM(I3:I13)</f>
        <v>916</v>
      </c>
      <c r="J14" s="203">
        <f>SUM(J3:J13)</f>
        <v>166.3</v>
      </c>
    </row>
    <row r="16" spans="1:10" ht="12.9" x14ac:dyDescent="0.35">
      <c r="A16" s="175" t="s">
        <v>0</v>
      </c>
      <c r="B16" s="175" t="s">
        <v>25</v>
      </c>
      <c r="C16" s="175">
        <v>1</v>
      </c>
      <c r="D16" s="175">
        <v>2</v>
      </c>
      <c r="E16" s="175">
        <v>3</v>
      </c>
      <c r="F16" s="175">
        <v>4</v>
      </c>
      <c r="G16" s="175">
        <v>5</v>
      </c>
      <c r="H16" s="175">
        <v>6</v>
      </c>
      <c r="I16" s="175" t="s">
        <v>114</v>
      </c>
      <c r="J16" s="175" t="s">
        <v>70</v>
      </c>
    </row>
    <row r="17" spans="1:10" ht="12.9" x14ac:dyDescent="0.35">
      <c r="A17" s="184">
        <v>66</v>
      </c>
      <c r="B17" s="185" t="s">
        <v>52</v>
      </c>
      <c r="C17" s="205">
        <v>2</v>
      </c>
      <c r="D17" s="205">
        <v>2</v>
      </c>
      <c r="E17" s="205">
        <v>2</v>
      </c>
      <c r="F17" s="205">
        <v>3</v>
      </c>
      <c r="G17" s="205">
        <v>2</v>
      </c>
      <c r="H17" s="205">
        <v>1</v>
      </c>
      <c r="I17" s="176">
        <f>SUM(C17:H17)</f>
        <v>12</v>
      </c>
      <c r="J17" s="207">
        <f>AVERAGE(C17:H17)</f>
        <v>2</v>
      </c>
    </row>
    <row r="18" spans="1:10" ht="12.9" x14ac:dyDescent="0.35">
      <c r="A18" s="184">
        <v>72</v>
      </c>
      <c r="B18" s="186" t="s">
        <v>34</v>
      </c>
      <c r="C18" s="206">
        <v>7</v>
      </c>
      <c r="D18" s="206">
        <v>0</v>
      </c>
      <c r="E18" s="206" t="s">
        <v>155</v>
      </c>
      <c r="F18" s="206" t="s">
        <v>155</v>
      </c>
      <c r="G18" s="206">
        <v>12</v>
      </c>
      <c r="H18" s="206">
        <v>58</v>
      </c>
      <c r="I18" s="176">
        <f>SUM(C18:H18)</f>
        <v>77</v>
      </c>
      <c r="J18" s="207">
        <v>19.2</v>
      </c>
    </row>
    <row r="19" spans="1:10" ht="12.9" x14ac:dyDescent="0.35">
      <c r="A19" s="184">
        <v>73</v>
      </c>
      <c r="B19" s="185" t="s">
        <v>102</v>
      </c>
      <c r="C19" s="205">
        <v>1</v>
      </c>
      <c r="D19" s="205">
        <v>2</v>
      </c>
      <c r="E19" s="205">
        <v>2</v>
      </c>
      <c r="F19" s="205">
        <v>3</v>
      </c>
      <c r="G19" s="205">
        <v>4</v>
      </c>
      <c r="H19" s="205">
        <v>4</v>
      </c>
      <c r="I19" s="176">
        <f t="shared" ref="I19:I27" si="2">SUM(C19:H19)</f>
        <v>16</v>
      </c>
      <c r="J19" s="207">
        <f t="shared" ref="J19:J27" si="3">AVERAGE(C19:H19)</f>
        <v>2.6666666666666665</v>
      </c>
    </row>
    <row r="20" spans="1:10" ht="12.9" x14ac:dyDescent="0.35">
      <c r="A20" s="184">
        <v>74</v>
      </c>
      <c r="B20" s="185" t="s">
        <v>37</v>
      </c>
      <c r="C20" s="205">
        <v>1</v>
      </c>
      <c r="D20" s="205">
        <v>0</v>
      </c>
      <c r="E20" s="205">
        <v>2</v>
      </c>
      <c r="F20" s="205">
        <v>3</v>
      </c>
      <c r="G20" s="205">
        <v>5</v>
      </c>
      <c r="H20" s="205">
        <v>1</v>
      </c>
      <c r="I20" s="176">
        <f t="shared" si="2"/>
        <v>12</v>
      </c>
      <c r="J20" s="207">
        <f t="shared" si="3"/>
        <v>2</v>
      </c>
    </row>
    <row r="21" spans="1:10" ht="12.9" x14ac:dyDescent="0.35">
      <c r="A21" s="184">
        <v>75</v>
      </c>
      <c r="B21" s="185" t="s">
        <v>104</v>
      </c>
      <c r="C21" s="205">
        <v>1</v>
      </c>
      <c r="D21" s="205">
        <v>4</v>
      </c>
      <c r="E21" s="205">
        <v>7</v>
      </c>
      <c r="F21" s="205">
        <v>16</v>
      </c>
      <c r="G21" s="205">
        <v>16</v>
      </c>
      <c r="H21" s="205" t="s">
        <v>155</v>
      </c>
      <c r="I21" s="176">
        <f t="shared" si="2"/>
        <v>44</v>
      </c>
      <c r="J21" s="207">
        <f t="shared" si="3"/>
        <v>8.8000000000000007</v>
      </c>
    </row>
    <row r="22" spans="1:10" ht="12.9" x14ac:dyDescent="0.35">
      <c r="A22" s="184">
        <v>76</v>
      </c>
      <c r="B22" s="185" t="s">
        <v>105</v>
      </c>
      <c r="C22" s="205">
        <v>0</v>
      </c>
      <c r="D22" s="205">
        <v>0</v>
      </c>
      <c r="E22" s="205">
        <v>1</v>
      </c>
      <c r="F22" s="205">
        <v>3</v>
      </c>
      <c r="G22" s="205">
        <v>8</v>
      </c>
      <c r="H22" s="205" t="s">
        <v>155</v>
      </c>
      <c r="I22" s="176">
        <f t="shared" si="2"/>
        <v>12</v>
      </c>
      <c r="J22" s="207">
        <f t="shared" si="3"/>
        <v>2.4</v>
      </c>
    </row>
    <row r="23" spans="1:10" ht="12.9" x14ac:dyDescent="0.35">
      <c r="A23" s="184">
        <v>78</v>
      </c>
      <c r="B23" s="185" t="s">
        <v>106</v>
      </c>
      <c r="C23" s="205">
        <v>0</v>
      </c>
      <c r="D23" s="205">
        <v>11</v>
      </c>
      <c r="E23" s="205">
        <v>4</v>
      </c>
      <c r="F23" s="205">
        <v>7</v>
      </c>
      <c r="G23" s="205">
        <v>6</v>
      </c>
      <c r="H23" s="205">
        <v>2</v>
      </c>
      <c r="I23" s="176">
        <f t="shared" si="2"/>
        <v>30</v>
      </c>
      <c r="J23" s="207">
        <f t="shared" si="3"/>
        <v>5</v>
      </c>
    </row>
    <row r="24" spans="1:10" ht="12.9" x14ac:dyDescent="0.35">
      <c r="A24" s="184">
        <v>83</v>
      </c>
      <c r="B24" s="185" t="s">
        <v>107</v>
      </c>
      <c r="C24" s="206">
        <v>6</v>
      </c>
      <c r="D24" s="206">
        <v>2</v>
      </c>
      <c r="E24" s="206">
        <v>21</v>
      </c>
      <c r="F24" s="206">
        <v>17</v>
      </c>
      <c r="G24" s="206">
        <v>7</v>
      </c>
      <c r="H24" s="206">
        <v>12</v>
      </c>
      <c r="I24" s="176">
        <f t="shared" si="2"/>
        <v>65</v>
      </c>
      <c r="J24" s="207">
        <f t="shared" si="3"/>
        <v>10.833333333333334</v>
      </c>
    </row>
    <row r="25" spans="1:10" ht="12.9" x14ac:dyDescent="0.35">
      <c r="A25" s="184">
        <v>84</v>
      </c>
      <c r="B25" s="185" t="s">
        <v>41</v>
      </c>
      <c r="C25" s="205">
        <v>1</v>
      </c>
      <c r="D25" s="205">
        <v>1</v>
      </c>
      <c r="E25" s="205">
        <v>5</v>
      </c>
      <c r="F25" s="205">
        <v>8</v>
      </c>
      <c r="G25" s="205">
        <v>10</v>
      </c>
      <c r="H25" s="205">
        <v>0</v>
      </c>
      <c r="I25" s="176">
        <f t="shared" si="2"/>
        <v>25</v>
      </c>
      <c r="J25" s="207">
        <f t="shared" si="3"/>
        <v>4.166666666666667</v>
      </c>
    </row>
    <row r="26" spans="1:10" ht="12.9" x14ac:dyDescent="0.35">
      <c r="A26" s="184">
        <v>85</v>
      </c>
      <c r="B26" s="185" t="s">
        <v>108</v>
      </c>
      <c r="C26" s="205">
        <v>18</v>
      </c>
      <c r="D26" s="205">
        <v>7</v>
      </c>
      <c r="E26" s="205">
        <v>12</v>
      </c>
      <c r="F26" s="205">
        <v>3</v>
      </c>
      <c r="G26" s="205">
        <v>1</v>
      </c>
      <c r="H26" s="205">
        <v>10</v>
      </c>
      <c r="I26" s="176">
        <f t="shared" si="2"/>
        <v>51</v>
      </c>
      <c r="J26" s="207">
        <f t="shared" si="3"/>
        <v>8.5</v>
      </c>
    </row>
    <row r="27" spans="1:10" ht="12.9" x14ac:dyDescent="0.35">
      <c r="A27" s="184">
        <v>87</v>
      </c>
      <c r="B27" s="185" t="s">
        <v>109</v>
      </c>
      <c r="C27" s="206">
        <v>12</v>
      </c>
      <c r="D27" s="205">
        <v>3</v>
      </c>
      <c r="E27" s="205">
        <v>2</v>
      </c>
      <c r="F27" s="205">
        <v>0</v>
      </c>
      <c r="G27" s="205">
        <v>0</v>
      </c>
      <c r="H27" s="205">
        <v>0</v>
      </c>
      <c r="I27" s="176">
        <f t="shared" si="2"/>
        <v>17</v>
      </c>
      <c r="J27" s="207">
        <f t="shared" si="3"/>
        <v>2.8333333333333335</v>
      </c>
    </row>
    <row r="28" spans="1:10" x14ac:dyDescent="0.3">
      <c r="A28" s="168"/>
      <c r="B28" s="169"/>
      <c r="I28" s="208">
        <f>SUM(I17:I27)</f>
        <v>361</v>
      </c>
      <c r="J28" s="208" t="s">
        <v>20</v>
      </c>
    </row>
  </sheetData>
  <mergeCells count="1">
    <mergeCell ref="C1:H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</sheetPr>
  <dimension ref="A1:J14"/>
  <sheetViews>
    <sheetView workbookViewId="0">
      <selection activeCell="G17" sqref="G17"/>
    </sheetView>
  </sheetViews>
  <sheetFormatPr defaultColWidth="8.765625" defaultRowHeight="12.45" x14ac:dyDescent="0.3"/>
  <cols>
    <col min="2" max="2" width="12.4609375" customWidth="1"/>
    <col min="3" max="8" width="9" bestFit="1" customWidth="1"/>
    <col min="9" max="9" width="9.69140625" bestFit="1" customWidth="1"/>
    <col min="10" max="10" width="9" bestFit="1" customWidth="1"/>
  </cols>
  <sheetData>
    <row r="1" spans="1:10" ht="12.9" x14ac:dyDescent="0.35">
      <c r="C1" s="272" t="s">
        <v>110</v>
      </c>
      <c r="D1" s="272"/>
      <c r="E1" s="272"/>
      <c r="F1" s="272"/>
      <c r="G1" s="272"/>
      <c r="H1" s="272"/>
    </row>
    <row r="2" spans="1:10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</row>
    <row r="3" spans="1:10" ht="12.9" x14ac:dyDescent="0.35">
      <c r="A3" s="184">
        <v>66</v>
      </c>
      <c r="B3" s="185" t="s">
        <v>52</v>
      </c>
      <c r="C3" s="187">
        <v>295</v>
      </c>
      <c r="D3" s="187">
        <v>160</v>
      </c>
      <c r="E3" s="187">
        <v>113</v>
      </c>
      <c r="F3" s="187">
        <v>276</v>
      </c>
      <c r="G3" s="187">
        <v>255</v>
      </c>
      <c r="H3" s="187">
        <v>234</v>
      </c>
      <c r="I3" s="176">
        <v>1333</v>
      </c>
      <c r="J3" s="176">
        <v>222.16666666666666</v>
      </c>
    </row>
    <row r="4" spans="1:10" ht="12.9" x14ac:dyDescent="0.35">
      <c r="A4" s="184">
        <v>72</v>
      </c>
      <c r="B4" s="186" t="s">
        <v>34</v>
      </c>
      <c r="C4" s="188">
        <v>282</v>
      </c>
      <c r="D4" s="188">
        <v>244</v>
      </c>
      <c r="E4" s="188">
        <v>233</v>
      </c>
      <c r="F4" s="188">
        <v>502</v>
      </c>
      <c r="G4" s="188">
        <v>695</v>
      </c>
      <c r="H4" s="188">
        <v>386</v>
      </c>
      <c r="I4" s="176">
        <v>2342</v>
      </c>
      <c r="J4" s="176">
        <v>390.33333333333331</v>
      </c>
    </row>
    <row r="5" spans="1:10" ht="12.9" x14ac:dyDescent="0.35">
      <c r="A5" s="184">
        <v>73</v>
      </c>
      <c r="B5" s="185" t="s">
        <v>102</v>
      </c>
      <c r="C5" s="189">
        <v>205</v>
      </c>
      <c r="D5" s="189">
        <v>137</v>
      </c>
      <c r="E5" s="189">
        <v>468</v>
      </c>
      <c r="F5" s="189">
        <v>206</v>
      </c>
      <c r="G5" s="189">
        <v>381</v>
      </c>
      <c r="H5" s="189">
        <v>288</v>
      </c>
      <c r="I5" s="176">
        <v>1685</v>
      </c>
      <c r="J5" s="176">
        <v>280.83333333333331</v>
      </c>
    </row>
    <row r="6" spans="1:10" ht="12.9" x14ac:dyDescent="0.35">
      <c r="A6" s="184">
        <v>74</v>
      </c>
      <c r="B6" s="185" t="s">
        <v>37</v>
      </c>
      <c r="C6" s="187">
        <v>470</v>
      </c>
      <c r="D6" s="187">
        <v>472</v>
      </c>
      <c r="E6" s="187">
        <v>649</v>
      </c>
      <c r="F6" s="187">
        <v>1142</v>
      </c>
      <c r="G6" s="187">
        <v>356</v>
      </c>
      <c r="H6" s="187">
        <v>493</v>
      </c>
      <c r="I6" s="176">
        <v>3582</v>
      </c>
      <c r="J6" s="176">
        <v>597</v>
      </c>
    </row>
    <row r="7" spans="1:10" ht="12.9" x14ac:dyDescent="0.35">
      <c r="A7" s="184">
        <v>75</v>
      </c>
      <c r="B7" s="185" t="s">
        <v>104</v>
      </c>
      <c r="C7" s="187">
        <v>638</v>
      </c>
      <c r="D7" s="187">
        <v>1123</v>
      </c>
      <c r="E7" s="187">
        <v>622</v>
      </c>
      <c r="F7" s="187">
        <v>438</v>
      </c>
      <c r="G7" s="187">
        <v>655</v>
      </c>
      <c r="H7" s="187">
        <v>983</v>
      </c>
      <c r="I7" s="176">
        <v>4459</v>
      </c>
      <c r="J7" s="176">
        <v>743.16666666666663</v>
      </c>
    </row>
    <row r="8" spans="1:10" ht="12.9" x14ac:dyDescent="0.35">
      <c r="A8" s="184">
        <v>76</v>
      </c>
      <c r="B8" s="185" t="s">
        <v>105</v>
      </c>
      <c r="C8" s="187">
        <v>245</v>
      </c>
      <c r="D8" s="187">
        <v>391</v>
      </c>
      <c r="E8" s="187">
        <v>837</v>
      </c>
      <c r="F8" s="187">
        <v>1252</v>
      </c>
      <c r="G8" s="187">
        <v>826</v>
      </c>
      <c r="H8" s="187">
        <v>317</v>
      </c>
      <c r="I8" s="176">
        <v>3868</v>
      </c>
      <c r="J8" s="176">
        <v>644.66666666666663</v>
      </c>
    </row>
    <row r="9" spans="1:10" ht="12.9" x14ac:dyDescent="0.35">
      <c r="A9" s="184">
        <v>78</v>
      </c>
      <c r="B9" s="185" t="s">
        <v>106</v>
      </c>
      <c r="C9" s="187">
        <v>573</v>
      </c>
      <c r="D9" s="187">
        <v>456</v>
      </c>
      <c r="E9" s="187">
        <v>621</v>
      </c>
      <c r="F9" s="187">
        <v>340</v>
      </c>
      <c r="G9" s="187">
        <v>515</v>
      </c>
      <c r="H9" s="187">
        <v>602</v>
      </c>
      <c r="I9" s="176">
        <v>3107</v>
      </c>
      <c r="J9" s="176">
        <v>517.83333333333337</v>
      </c>
    </row>
    <row r="10" spans="1:10" ht="12.9" x14ac:dyDescent="0.35">
      <c r="A10" s="184">
        <v>83</v>
      </c>
      <c r="B10" s="185" t="s">
        <v>107</v>
      </c>
      <c r="C10" s="188">
        <v>574</v>
      </c>
      <c r="D10" s="188">
        <v>242</v>
      </c>
      <c r="E10" s="188">
        <v>429</v>
      </c>
      <c r="F10" s="188">
        <v>970</v>
      </c>
      <c r="G10" s="188">
        <v>718</v>
      </c>
      <c r="H10" s="188">
        <v>411</v>
      </c>
      <c r="I10" s="176">
        <v>3344</v>
      </c>
      <c r="J10" s="176">
        <v>557.33333333333337</v>
      </c>
    </row>
    <row r="11" spans="1:10" ht="12.9" x14ac:dyDescent="0.35">
      <c r="A11" s="184">
        <v>84</v>
      </c>
      <c r="B11" s="185" t="s">
        <v>41</v>
      </c>
      <c r="C11" s="187">
        <v>818</v>
      </c>
      <c r="D11" s="187">
        <v>787</v>
      </c>
      <c r="E11" s="187">
        <v>1242</v>
      </c>
      <c r="F11" s="187">
        <v>225</v>
      </c>
      <c r="G11" s="187">
        <v>1090</v>
      </c>
      <c r="H11" s="187">
        <v>1029</v>
      </c>
      <c r="I11" s="176">
        <v>5191</v>
      </c>
      <c r="J11" s="176">
        <v>865.16666666666663</v>
      </c>
    </row>
    <row r="12" spans="1:10" ht="12.9" x14ac:dyDescent="0.35">
      <c r="A12" s="184">
        <v>85</v>
      </c>
      <c r="B12" s="185" t="s">
        <v>108</v>
      </c>
      <c r="C12" s="187">
        <v>869</v>
      </c>
      <c r="D12" s="187">
        <v>412</v>
      </c>
      <c r="E12" s="187">
        <v>100</v>
      </c>
      <c r="F12" s="187">
        <v>134</v>
      </c>
      <c r="G12" s="187">
        <v>122</v>
      </c>
      <c r="H12" s="187">
        <v>187</v>
      </c>
      <c r="I12" s="176">
        <v>1824</v>
      </c>
      <c r="J12" s="176">
        <v>304</v>
      </c>
    </row>
    <row r="13" spans="1:10" ht="12.9" x14ac:dyDescent="0.35">
      <c r="A13" s="184">
        <v>87</v>
      </c>
      <c r="B13" s="185" t="s">
        <v>109</v>
      </c>
      <c r="C13" s="188">
        <v>590</v>
      </c>
      <c r="D13" s="187">
        <v>64</v>
      </c>
      <c r="E13" s="187">
        <v>164</v>
      </c>
      <c r="F13" s="187">
        <v>91</v>
      </c>
      <c r="G13" s="187">
        <v>66</v>
      </c>
      <c r="H13" s="187">
        <v>230</v>
      </c>
      <c r="I13" s="176">
        <v>1205</v>
      </c>
      <c r="J13" s="176">
        <v>200.83333333333334</v>
      </c>
    </row>
    <row r="14" spans="1:10" x14ac:dyDescent="0.3">
      <c r="A14" s="168"/>
      <c r="B14" s="169"/>
    </row>
  </sheetData>
  <mergeCells count="1">
    <mergeCell ref="C1:H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</sheetPr>
  <dimension ref="A1:J25"/>
  <sheetViews>
    <sheetView workbookViewId="0">
      <selection activeCell="J3" sqref="J3:J12"/>
    </sheetView>
  </sheetViews>
  <sheetFormatPr defaultColWidth="8.765625" defaultRowHeight="12.45" x14ac:dyDescent="0.3"/>
  <sheetData>
    <row r="1" spans="1:10" ht="12.9" x14ac:dyDescent="0.35">
      <c r="C1" s="272" t="s">
        <v>110</v>
      </c>
      <c r="D1" s="272"/>
      <c r="E1" s="272"/>
      <c r="F1" s="272"/>
      <c r="G1" s="272"/>
      <c r="H1" s="272"/>
    </row>
    <row r="2" spans="1:10" ht="12.9" x14ac:dyDescent="0.35">
      <c r="A2" s="175" t="s">
        <v>0</v>
      </c>
      <c r="B2" s="175" t="s">
        <v>25</v>
      </c>
      <c r="C2" s="175">
        <v>1</v>
      </c>
      <c r="D2" s="175">
        <v>2</v>
      </c>
      <c r="E2" s="175">
        <v>3</v>
      </c>
      <c r="F2" s="175">
        <v>4</v>
      </c>
      <c r="G2" s="175">
        <v>5</v>
      </c>
      <c r="H2" s="175">
        <v>6</v>
      </c>
      <c r="I2" s="175" t="s">
        <v>114</v>
      </c>
      <c r="J2" s="175" t="s">
        <v>70</v>
      </c>
    </row>
    <row r="3" spans="1:10" ht="12.9" x14ac:dyDescent="0.35">
      <c r="A3" s="160">
        <v>66</v>
      </c>
      <c r="B3" s="161" t="s">
        <v>52</v>
      </c>
      <c r="C3" s="160">
        <v>219</v>
      </c>
      <c r="D3" s="160">
        <v>210</v>
      </c>
      <c r="E3" s="160">
        <v>156</v>
      </c>
      <c r="F3" s="160">
        <v>236</v>
      </c>
      <c r="G3" s="160">
        <v>640</v>
      </c>
      <c r="H3" s="160">
        <v>509</v>
      </c>
      <c r="I3" s="166">
        <f t="shared" ref="I3:I12" si="0">SUM(C3:H3)</f>
        <v>1970</v>
      </c>
      <c r="J3" s="167">
        <f t="shared" ref="J3:J11" si="1">I3/6</f>
        <v>328.33333333333331</v>
      </c>
    </row>
    <row r="4" spans="1:10" ht="12.9" x14ac:dyDescent="0.35">
      <c r="A4" s="160">
        <v>72</v>
      </c>
      <c r="B4" s="163" t="s">
        <v>34</v>
      </c>
      <c r="C4" s="160">
        <v>173</v>
      </c>
      <c r="D4" s="160">
        <v>152</v>
      </c>
      <c r="E4" s="160">
        <v>750</v>
      </c>
      <c r="F4" s="160">
        <v>175</v>
      </c>
      <c r="G4" s="160">
        <v>282</v>
      </c>
      <c r="H4" s="160">
        <v>170</v>
      </c>
      <c r="I4" s="166">
        <f t="shared" si="0"/>
        <v>1702</v>
      </c>
      <c r="J4" s="167">
        <f t="shared" si="1"/>
        <v>283.66666666666669</v>
      </c>
    </row>
    <row r="5" spans="1:10" ht="12.9" x14ac:dyDescent="0.35">
      <c r="A5" s="160">
        <v>73</v>
      </c>
      <c r="B5" s="161" t="s">
        <v>102</v>
      </c>
      <c r="C5" s="160">
        <v>485</v>
      </c>
      <c r="D5" s="160">
        <v>148</v>
      </c>
      <c r="E5" s="160">
        <v>129</v>
      </c>
      <c r="F5" s="160">
        <v>216</v>
      </c>
      <c r="G5" s="160">
        <v>276</v>
      </c>
      <c r="H5" s="160">
        <v>113</v>
      </c>
      <c r="I5" s="166">
        <f t="shared" si="0"/>
        <v>1367</v>
      </c>
      <c r="J5" s="167">
        <f t="shared" si="1"/>
        <v>227.83333333333334</v>
      </c>
    </row>
    <row r="6" spans="1:10" ht="12.9" x14ac:dyDescent="0.35">
      <c r="A6" s="160">
        <v>74</v>
      </c>
      <c r="B6" s="161" t="s">
        <v>37</v>
      </c>
      <c r="C6" s="160">
        <v>564</v>
      </c>
      <c r="D6" s="160">
        <v>747</v>
      </c>
      <c r="E6" s="160">
        <v>446</v>
      </c>
      <c r="F6" s="160">
        <v>544</v>
      </c>
      <c r="G6" s="160">
        <v>953</v>
      </c>
      <c r="H6" s="160">
        <v>880</v>
      </c>
      <c r="I6" s="166">
        <f t="shared" si="0"/>
        <v>4134</v>
      </c>
      <c r="J6" s="167">
        <f t="shared" si="1"/>
        <v>689</v>
      </c>
    </row>
    <row r="7" spans="1:10" ht="12.9" x14ac:dyDescent="0.35">
      <c r="A7" s="160">
        <v>75</v>
      </c>
      <c r="B7" s="161" t="s">
        <v>104</v>
      </c>
      <c r="C7" s="160">
        <v>899</v>
      </c>
      <c r="D7" s="160">
        <v>745</v>
      </c>
      <c r="E7" s="160">
        <v>1574</v>
      </c>
      <c r="F7" s="160">
        <v>555</v>
      </c>
      <c r="G7" s="160">
        <v>2058</v>
      </c>
      <c r="H7" s="160">
        <v>980</v>
      </c>
      <c r="I7" s="166">
        <f t="shared" si="0"/>
        <v>6811</v>
      </c>
      <c r="J7" s="167">
        <f t="shared" si="1"/>
        <v>1135.1666666666667</v>
      </c>
    </row>
    <row r="8" spans="1:10" ht="12.9" x14ac:dyDescent="0.35">
      <c r="A8" s="160">
        <v>76</v>
      </c>
      <c r="B8" s="161" t="s">
        <v>105</v>
      </c>
      <c r="C8" s="160">
        <v>944</v>
      </c>
      <c r="D8" s="160">
        <v>930</v>
      </c>
      <c r="E8" s="160">
        <v>1039</v>
      </c>
      <c r="F8" s="160">
        <v>1140</v>
      </c>
      <c r="G8" s="160">
        <v>301</v>
      </c>
      <c r="H8" s="160">
        <v>260</v>
      </c>
      <c r="I8" s="166">
        <f t="shared" si="0"/>
        <v>4614</v>
      </c>
      <c r="J8" s="167">
        <f t="shared" si="1"/>
        <v>769</v>
      </c>
    </row>
    <row r="9" spans="1:10" ht="12.9" x14ac:dyDescent="0.35">
      <c r="A9" s="160">
        <v>78</v>
      </c>
      <c r="B9" s="161" t="s">
        <v>106</v>
      </c>
      <c r="C9" s="160">
        <v>287</v>
      </c>
      <c r="D9" s="160">
        <v>365</v>
      </c>
      <c r="E9" s="160">
        <v>283</v>
      </c>
      <c r="F9" s="160">
        <v>436</v>
      </c>
      <c r="G9" s="160">
        <v>415</v>
      </c>
      <c r="H9" s="160">
        <v>450</v>
      </c>
      <c r="I9" s="166">
        <f t="shared" si="0"/>
        <v>2236</v>
      </c>
      <c r="J9" s="167">
        <f t="shared" si="1"/>
        <v>372.66666666666669</v>
      </c>
    </row>
    <row r="10" spans="1:10" ht="12.9" x14ac:dyDescent="0.35">
      <c r="A10" s="160">
        <v>83</v>
      </c>
      <c r="B10" s="161" t="s">
        <v>107</v>
      </c>
      <c r="C10" s="160">
        <v>405</v>
      </c>
      <c r="D10" s="160">
        <v>283</v>
      </c>
      <c r="E10" s="160">
        <v>300</v>
      </c>
      <c r="F10" s="160">
        <v>1016</v>
      </c>
      <c r="G10" s="160">
        <v>823</v>
      </c>
      <c r="H10" s="160">
        <v>980</v>
      </c>
      <c r="I10" s="166">
        <f t="shared" si="0"/>
        <v>3807</v>
      </c>
      <c r="J10" s="167">
        <f t="shared" si="1"/>
        <v>634.5</v>
      </c>
    </row>
    <row r="11" spans="1:10" ht="12.9" x14ac:dyDescent="0.35">
      <c r="A11" s="160">
        <v>84</v>
      </c>
      <c r="B11" s="161" t="s">
        <v>41</v>
      </c>
      <c r="C11" s="160">
        <v>1215</v>
      </c>
      <c r="D11" s="160">
        <v>2085</v>
      </c>
      <c r="E11" s="160">
        <v>1327</v>
      </c>
      <c r="F11" s="160">
        <v>749</v>
      </c>
      <c r="G11" s="160">
        <v>1966</v>
      </c>
      <c r="H11" s="160">
        <v>304</v>
      </c>
      <c r="I11" s="166">
        <f t="shared" si="0"/>
        <v>7646</v>
      </c>
      <c r="J11" s="167">
        <f t="shared" si="1"/>
        <v>1274.3333333333333</v>
      </c>
    </row>
    <row r="12" spans="1:10" ht="12.9" x14ac:dyDescent="0.35">
      <c r="A12" s="160">
        <v>85</v>
      </c>
      <c r="B12" s="161" t="s">
        <v>108</v>
      </c>
      <c r="C12" s="160">
        <v>803</v>
      </c>
      <c r="D12" s="160">
        <v>1570</v>
      </c>
      <c r="E12" s="160">
        <v>1254</v>
      </c>
      <c r="F12" s="160">
        <v>2044</v>
      </c>
      <c r="G12" s="160">
        <v>1992</v>
      </c>
      <c r="H12" s="160"/>
      <c r="I12" s="166">
        <f t="shared" si="0"/>
        <v>7663</v>
      </c>
      <c r="J12" s="167">
        <f>I12/5</f>
        <v>1532.6</v>
      </c>
    </row>
    <row r="13" spans="1:10" ht="12.9" x14ac:dyDescent="0.35">
      <c r="A13" s="160">
        <v>87</v>
      </c>
      <c r="B13" s="161" t="s">
        <v>109</v>
      </c>
      <c r="C13" s="273" t="s">
        <v>113</v>
      </c>
      <c r="D13" s="273"/>
      <c r="E13" s="273"/>
      <c r="F13" s="273"/>
      <c r="G13" s="273"/>
      <c r="H13" s="273"/>
      <c r="I13" s="273"/>
      <c r="J13" s="273"/>
    </row>
    <row r="14" spans="1:10" x14ac:dyDescent="0.3">
      <c r="A14" s="168"/>
      <c r="B14" s="169"/>
    </row>
    <row r="15" spans="1:10" ht="12.9" x14ac:dyDescent="0.35">
      <c r="A15" s="170"/>
      <c r="B15" s="171"/>
    </row>
    <row r="16" spans="1:10" ht="12.9" x14ac:dyDescent="0.35">
      <c r="A16" s="170"/>
      <c r="B16" s="172"/>
    </row>
    <row r="17" spans="1:2" ht="12.9" x14ac:dyDescent="0.35">
      <c r="A17" s="170"/>
      <c r="B17" s="171"/>
    </row>
    <row r="18" spans="1:2" ht="12.9" x14ac:dyDescent="0.35">
      <c r="A18" s="170"/>
      <c r="B18" s="171"/>
    </row>
    <row r="19" spans="1:2" ht="12.9" x14ac:dyDescent="0.35">
      <c r="A19" s="170"/>
      <c r="B19" s="171"/>
    </row>
    <row r="20" spans="1:2" ht="12.9" x14ac:dyDescent="0.35">
      <c r="A20" s="170"/>
      <c r="B20" s="171"/>
    </row>
    <row r="21" spans="1:2" ht="12.9" x14ac:dyDescent="0.35">
      <c r="A21" s="170"/>
      <c r="B21" s="171"/>
    </row>
    <row r="22" spans="1:2" ht="12.9" x14ac:dyDescent="0.35">
      <c r="A22" s="170"/>
      <c r="B22" s="171"/>
    </row>
    <row r="23" spans="1:2" ht="12.9" x14ac:dyDescent="0.35">
      <c r="A23" s="170"/>
      <c r="B23" s="171"/>
    </row>
    <row r="24" spans="1:2" ht="12.9" x14ac:dyDescent="0.35">
      <c r="A24" s="170"/>
      <c r="B24" s="171"/>
    </row>
    <row r="25" spans="1:2" ht="12.9" x14ac:dyDescent="0.35">
      <c r="A25" s="170"/>
      <c r="B25" s="171"/>
    </row>
  </sheetData>
  <mergeCells count="2">
    <mergeCell ref="C13:J13"/>
    <mergeCell ref="C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</sheetPr>
  <dimension ref="A1:J14"/>
  <sheetViews>
    <sheetView workbookViewId="0">
      <selection activeCell="A13" sqref="A13:B13"/>
    </sheetView>
  </sheetViews>
  <sheetFormatPr defaultColWidth="8.765625" defaultRowHeight="12.45" x14ac:dyDescent="0.3"/>
  <sheetData>
    <row r="1" spans="1:10" x14ac:dyDescent="0.3">
      <c r="C1" s="274" t="s">
        <v>110</v>
      </c>
      <c r="D1" s="275"/>
      <c r="E1" s="275"/>
      <c r="F1" s="275"/>
      <c r="G1" s="275"/>
      <c r="H1" s="275"/>
    </row>
    <row r="2" spans="1:10" s="78" customFormat="1" ht="11.6" x14ac:dyDescent="0.3">
      <c r="A2" s="82" t="s">
        <v>0</v>
      </c>
      <c r="B2" s="81" t="s">
        <v>25</v>
      </c>
      <c r="C2" s="34">
        <v>1</v>
      </c>
      <c r="D2" s="97">
        <v>2</v>
      </c>
      <c r="E2" s="97">
        <v>3</v>
      </c>
      <c r="F2" s="97">
        <v>4</v>
      </c>
      <c r="G2" s="35">
        <v>5</v>
      </c>
      <c r="H2" s="33">
        <v>6</v>
      </c>
      <c r="I2" s="86" t="s">
        <v>9</v>
      </c>
      <c r="J2" s="90" t="s">
        <v>70</v>
      </c>
    </row>
    <row r="3" spans="1:10" ht="12.9" x14ac:dyDescent="0.35">
      <c r="A3" s="160">
        <v>66</v>
      </c>
      <c r="B3" s="161" t="s">
        <v>52</v>
      </c>
      <c r="C3" s="160">
        <v>242</v>
      </c>
      <c r="D3" s="160">
        <v>128</v>
      </c>
      <c r="E3" s="160">
        <v>211</v>
      </c>
      <c r="F3" s="160">
        <v>271</v>
      </c>
      <c r="G3" s="160">
        <v>291</v>
      </c>
      <c r="H3" s="160">
        <v>185</v>
      </c>
      <c r="I3" s="162">
        <f t="shared" ref="I3:I13" si="0">SUM(C3:H3)</f>
        <v>1328</v>
      </c>
      <c r="J3" s="164">
        <f t="shared" ref="J3:J13" si="1">AVERAGE(C3:H3)</f>
        <v>221.33333333333334</v>
      </c>
    </row>
    <row r="4" spans="1:10" ht="12.9" x14ac:dyDescent="0.35">
      <c r="A4" s="160">
        <v>72</v>
      </c>
      <c r="B4" s="163" t="s">
        <v>34</v>
      </c>
      <c r="C4" s="160">
        <v>185</v>
      </c>
      <c r="D4" s="160">
        <v>512</v>
      </c>
      <c r="E4" s="160">
        <v>112</v>
      </c>
      <c r="F4" s="160">
        <v>508</v>
      </c>
      <c r="G4" s="160">
        <v>341</v>
      </c>
      <c r="H4" s="160">
        <v>643</v>
      </c>
      <c r="I4" s="162">
        <f t="shared" si="0"/>
        <v>2301</v>
      </c>
      <c r="J4" s="164">
        <f t="shared" si="1"/>
        <v>383.5</v>
      </c>
    </row>
    <row r="5" spans="1:10" ht="12.9" x14ac:dyDescent="0.35">
      <c r="A5" s="160">
        <v>73</v>
      </c>
      <c r="B5" s="161" t="s">
        <v>102</v>
      </c>
      <c r="C5" s="160">
        <v>201</v>
      </c>
      <c r="D5" s="160">
        <v>462</v>
      </c>
      <c r="E5" s="160">
        <v>152</v>
      </c>
      <c r="F5" s="160">
        <v>362</v>
      </c>
      <c r="G5" s="160">
        <v>118</v>
      </c>
      <c r="H5" s="160" t="s">
        <v>103</v>
      </c>
      <c r="I5" s="162">
        <f t="shared" si="0"/>
        <v>1295</v>
      </c>
      <c r="J5" s="164">
        <f t="shared" si="1"/>
        <v>259</v>
      </c>
    </row>
    <row r="6" spans="1:10" ht="12.9" x14ac:dyDescent="0.35">
      <c r="A6" s="160">
        <v>74</v>
      </c>
      <c r="B6" s="161" t="s">
        <v>37</v>
      </c>
      <c r="C6" s="160">
        <v>277</v>
      </c>
      <c r="D6" s="160">
        <v>427</v>
      </c>
      <c r="E6" s="160">
        <v>321</v>
      </c>
      <c r="F6" s="160">
        <v>187</v>
      </c>
      <c r="G6" s="160">
        <v>401</v>
      </c>
      <c r="H6" s="160">
        <v>202</v>
      </c>
      <c r="I6" s="162">
        <f t="shared" si="0"/>
        <v>1815</v>
      </c>
      <c r="J6" s="164">
        <f t="shared" si="1"/>
        <v>302.5</v>
      </c>
    </row>
    <row r="7" spans="1:10" ht="12.9" x14ac:dyDescent="0.35">
      <c r="A7" s="160">
        <v>75</v>
      </c>
      <c r="B7" s="161" t="s">
        <v>104</v>
      </c>
      <c r="C7" s="160">
        <v>342</v>
      </c>
      <c r="D7" s="160">
        <v>556</v>
      </c>
      <c r="E7" s="160">
        <v>370</v>
      </c>
      <c r="F7" s="160">
        <v>228</v>
      </c>
      <c r="G7" s="160">
        <v>508</v>
      </c>
      <c r="H7" s="160">
        <v>226</v>
      </c>
      <c r="I7" s="162">
        <f t="shared" si="0"/>
        <v>2230</v>
      </c>
      <c r="J7" s="164">
        <f t="shared" si="1"/>
        <v>371.66666666666669</v>
      </c>
    </row>
    <row r="8" spans="1:10" ht="12.9" x14ac:dyDescent="0.35">
      <c r="A8" s="160">
        <v>76</v>
      </c>
      <c r="B8" s="161" t="s">
        <v>105</v>
      </c>
      <c r="C8" s="160">
        <v>512</v>
      </c>
      <c r="D8" s="160">
        <v>230</v>
      </c>
      <c r="E8" s="160">
        <v>185</v>
      </c>
      <c r="F8" s="160">
        <v>410</v>
      </c>
      <c r="G8" s="160">
        <v>255</v>
      </c>
      <c r="H8" s="160" t="s">
        <v>103</v>
      </c>
      <c r="I8" s="162">
        <f t="shared" si="0"/>
        <v>1592</v>
      </c>
      <c r="J8" s="164">
        <f t="shared" si="1"/>
        <v>318.39999999999998</v>
      </c>
    </row>
    <row r="9" spans="1:10" ht="12.9" x14ac:dyDescent="0.35">
      <c r="A9" s="160">
        <v>78</v>
      </c>
      <c r="B9" s="161" t="s">
        <v>106</v>
      </c>
      <c r="C9" s="160">
        <v>238</v>
      </c>
      <c r="D9" s="160">
        <v>374</v>
      </c>
      <c r="E9" s="160">
        <v>338</v>
      </c>
      <c r="F9" s="160">
        <v>282</v>
      </c>
      <c r="G9" s="160">
        <v>211</v>
      </c>
      <c r="H9" s="160">
        <v>432</v>
      </c>
      <c r="I9" s="162">
        <f t="shared" si="0"/>
        <v>1875</v>
      </c>
      <c r="J9" s="164">
        <f t="shared" si="1"/>
        <v>312.5</v>
      </c>
    </row>
    <row r="10" spans="1:10" ht="12.9" x14ac:dyDescent="0.35">
      <c r="A10" s="160">
        <v>83</v>
      </c>
      <c r="B10" s="161" t="s">
        <v>107</v>
      </c>
      <c r="C10" s="160">
        <v>415</v>
      </c>
      <c r="D10" s="160">
        <v>648</v>
      </c>
      <c r="E10" s="160">
        <v>490</v>
      </c>
      <c r="F10" s="160">
        <v>398</v>
      </c>
      <c r="G10" s="160">
        <v>1132</v>
      </c>
      <c r="H10" s="160">
        <v>220</v>
      </c>
      <c r="I10" s="162">
        <f t="shared" si="0"/>
        <v>3303</v>
      </c>
      <c r="J10" s="164">
        <f t="shared" si="1"/>
        <v>550.5</v>
      </c>
    </row>
    <row r="11" spans="1:10" ht="12.9" x14ac:dyDescent="0.35">
      <c r="A11" s="160">
        <v>84</v>
      </c>
      <c r="B11" s="161" t="s">
        <v>41</v>
      </c>
      <c r="C11" s="160">
        <v>742</v>
      </c>
      <c r="D11" s="160">
        <v>883</v>
      </c>
      <c r="E11" s="160">
        <v>193</v>
      </c>
      <c r="F11" s="160">
        <v>133</v>
      </c>
      <c r="G11" s="160">
        <v>118</v>
      </c>
      <c r="H11" s="160">
        <v>518</v>
      </c>
      <c r="I11" s="162">
        <f t="shared" si="0"/>
        <v>2587</v>
      </c>
      <c r="J11" s="164">
        <f t="shared" si="1"/>
        <v>431.16666666666669</v>
      </c>
    </row>
    <row r="12" spans="1:10" ht="12.9" x14ac:dyDescent="0.35">
      <c r="A12" s="160">
        <v>85</v>
      </c>
      <c r="B12" s="161" t="s">
        <v>108</v>
      </c>
      <c r="C12" s="160">
        <v>611</v>
      </c>
      <c r="D12" s="160">
        <v>572</v>
      </c>
      <c r="E12" s="160">
        <v>283</v>
      </c>
      <c r="F12" s="160">
        <v>222</v>
      </c>
      <c r="G12" s="160">
        <v>652</v>
      </c>
      <c r="H12" s="160" t="s">
        <v>103</v>
      </c>
      <c r="I12" s="162">
        <f t="shared" si="0"/>
        <v>2340</v>
      </c>
      <c r="J12" s="164">
        <f t="shared" si="1"/>
        <v>468</v>
      </c>
    </row>
    <row r="13" spans="1:10" ht="12.9" x14ac:dyDescent="0.35">
      <c r="A13" s="160">
        <v>87</v>
      </c>
      <c r="B13" s="161" t="s">
        <v>109</v>
      </c>
      <c r="C13" s="160">
        <v>209</v>
      </c>
      <c r="D13" s="160">
        <v>405</v>
      </c>
      <c r="E13" s="160">
        <v>128</v>
      </c>
      <c r="F13" s="160">
        <v>125</v>
      </c>
      <c r="G13" s="160">
        <v>114</v>
      </c>
      <c r="H13" s="160" t="s">
        <v>103</v>
      </c>
      <c r="I13" s="162">
        <f t="shared" si="0"/>
        <v>981</v>
      </c>
      <c r="J13" s="164">
        <f t="shared" si="1"/>
        <v>196.2</v>
      </c>
    </row>
    <row r="14" spans="1:10" x14ac:dyDescent="0.3">
      <c r="J14" s="56" t="s">
        <v>20</v>
      </c>
    </row>
  </sheetData>
  <mergeCells count="1">
    <mergeCell ref="C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</sheetPr>
  <dimension ref="A1:L15"/>
  <sheetViews>
    <sheetView workbookViewId="0">
      <selection activeCell="F33" sqref="F33"/>
    </sheetView>
  </sheetViews>
  <sheetFormatPr defaultColWidth="8.765625" defaultRowHeight="11.6" x14ac:dyDescent="0.3"/>
  <cols>
    <col min="1" max="1" width="8.765625" style="78"/>
    <col min="2" max="2" width="16.765625" style="78" customWidth="1"/>
    <col min="3" max="6" width="5.4609375" style="78" customWidth="1"/>
    <col min="7" max="8" width="6.3046875" style="78" customWidth="1"/>
    <col min="9" max="9" width="8.765625" style="78"/>
    <col min="10" max="10" width="8.765625" style="80"/>
    <col min="11" max="16384" width="8.765625" style="78"/>
  </cols>
  <sheetData>
    <row r="1" spans="1:12" x14ac:dyDescent="0.3">
      <c r="A1" s="87"/>
      <c r="B1" s="88"/>
      <c r="C1" s="276" t="s">
        <v>71</v>
      </c>
      <c r="D1" s="276"/>
      <c r="E1" s="276"/>
      <c r="F1" s="276"/>
      <c r="G1" s="276"/>
      <c r="H1" s="276"/>
      <c r="I1" s="88"/>
      <c r="J1" s="89"/>
    </row>
    <row r="2" spans="1:12" x14ac:dyDescent="0.3">
      <c r="A2" s="82" t="s">
        <v>0</v>
      </c>
      <c r="B2" s="81" t="s">
        <v>25</v>
      </c>
      <c r="C2" s="34">
        <v>1</v>
      </c>
      <c r="D2" s="97">
        <v>2</v>
      </c>
      <c r="E2" s="97">
        <v>3</v>
      </c>
      <c r="F2" s="97">
        <v>4</v>
      </c>
      <c r="G2" s="35">
        <v>5</v>
      </c>
      <c r="H2" s="33">
        <v>6</v>
      </c>
      <c r="I2" s="86" t="s">
        <v>9</v>
      </c>
      <c r="J2" s="90" t="s">
        <v>70</v>
      </c>
    </row>
    <row r="3" spans="1:12" ht="12.9" x14ac:dyDescent="0.35">
      <c r="A3" s="24">
        <v>66</v>
      </c>
      <c r="B3" s="24" t="s">
        <v>52</v>
      </c>
      <c r="C3" s="82">
        <v>28</v>
      </c>
      <c r="D3" s="82">
        <v>25</v>
      </c>
      <c r="E3" s="82">
        <v>28</v>
      </c>
      <c r="F3" s="82">
        <v>23</v>
      </c>
      <c r="G3" s="82">
        <v>16</v>
      </c>
      <c r="H3" s="82">
        <v>62</v>
      </c>
      <c r="I3" s="83">
        <f>SUM(C3:H3)</f>
        <v>182</v>
      </c>
      <c r="J3" s="91">
        <f>I3/6</f>
        <v>30.333333333333332</v>
      </c>
      <c r="K3" s="164"/>
    </row>
    <row r="4" spans="1:12" ht="12.9" x14ac:dyDescent="0.35">
      <c r="A4" s="24">
        <v>72</v>
      </c>
      <c r="B4" s="24" t="s">
        <v>34</v>
      </c>
      <c r="C4" s="24">
        <v>4</v>
      </c>
      <c r="D4" s="24">
        <v>39</v>
      </c>
      <c r="E4" s="24">
        <v>81</v>
      </c>
      <c r="F4" s="24">
        <v>24</v>
      </c>
      <c r="G4" s="24">
        <v>245</v>
      </c>
      <c r="H4" s="24">
        <v>59</v>
      </c>
      <c r="I4" s="83">
        <f>SUM(C4:H4)</f>
        <v>452</v>
      </c>
      <c r="J4" s="91">
        <f>I4/6</f>
        <v>75.333333333333329</v>
      </c>
      <c r="K4" s="164"/>
    </row>
    <row r="5" spans="1:12" ht="12.9" x14ac:dyDescent="0.35">
      <c r="A5" s="24">
        <v>73</v>
      </c>
      <c r="B5" s="24" t="s">
        <v>50</v>
      </c>
      <c r="C5" s="24">
        <v>2</v>
      </c>
      <c r="D5" s="24">
        <v>6</v>
      </c>
      <c r="E5" s="24">
        <v>1</v>
      </c>
      <c r="F5" s="24">
        <v>15</v>
      </c>
      <c r="G5" s="24" t="s">
        <v>91</v>
      </c>
      <c r="H5" s="24" t="s">
        <v>92</v>
      </c>
      <c r="I5" s="83">
        <f>SUM(C5:H5)</f>
        <v>24</v>
      </c>
      <c r="J5" s="91">
        <f>I5/4</f>
        <v>6</v>
      </c>
      <c r="K5" s="164"/>
    </row>
    <row r="6" spans="1:12" ht="12.9" x14ac:dyDescent="0.35">
      <c r="A6" s="24">
        <v>74</v>
      </c>
      <c r="B6" s="24" t="s">
        <v>37</v>
      </c>
      <c r="C6" s="24">
        <v>183</v>
      </c>
      <c r="D6" s="24">
        <v>39</v>
      </c>
      <c r="E6" s="24">
        <v>81</v>
      </c>
      <c r="F6" s="24">
        <v>21</v>
      </c>
      <c r="G6" s="24">
        <v>6</v>
      </c>
      <c r="H6" s="24">
        <v>153</v>
      </c>
      <c r="I6" s="83">
        <f t="shared" ref="I6:I13" si="0">SUM(C6:H6)</f>
        <v>483</v>
      </c>
      <c r="J6" s="91">
        <f>I6/6</f>
        <v>80.5</v>
      </c>
      <c r="K6" s="164"/>
    </row>
    <row r="7" spans="1:12" ht="12.9" x14ac:dyDescent="0.35">
      <c r="A7" s="24">
        <v>75</v>
      </c>
      <c r="B7" s="24" t="s">
        <v>38</v>
      </c>
      <c r="C7" s="24">
        <v>85</v>
      </c>
      <c r="D7" s="24">
        <v>36</v>
      </c>
      <c r="E7" s="24">
        <v>86</v>
      </c>
      <c r="F7" s="24">
        <v>54</v>
      </c>
      <c r="G7" s="24">
        <v>53</v>
      </c>
      <c r="H7" s="24">
        <v>47</v>
      </c>
      <c r="I7" s="83">
        <f t="shared" si="0"/>
        <v>361</v>
      </c>
      <c r="J7" s="91">
        <f>I7/6</f>
        <v>60.166666666666664</v>
      </c>
      <c r="K7" s="164"/>
    </row>
    <row r="8" spans="1:12" ht="12.9" x14ac:dyDescent="0.35">
      <c r="A8" s="24">
        <v>76</v>
      </c>
      <c r="B8" s="24" t="s">
        <v>39</v>
      </c>
      <c r="C8" s="24">
        <v>25</v>
      </c>
      <c r="D8" s="24">
        <v>18</v>
      </c>
      <c r="E8" s="24">
        <v>105</v>
      </c>
      <c r="F8" s="24">
        <v>9</v>
      </c>
      <c r="G8" s="24">
        <v>5</v>
      </c>
      <c r="H8" s="24">
        <v>15</v>
      </c>
      <c r="I8" s="83">
        <f t="shared" si="0"/>
        <v>177</v>
      </c>
      <c r="J8" s="91">
        <f>I8/6</f>
        <v>29.5</v>
      </c>
      <c r="K8" s="164"/>
    </row>
    <row r="9" spans="1:12" ht="12.9" x14ac:dyDescent="0.35">
      <c r="A9" s="24">
        <v>78</v>
      </c>
      <c r="B9" s="24" t="s">
        <v>40</v>
      </c>
      <c r="C9" s="24">
        <v>40</v>
      </c>
      <c r="D9" s="24">
        <v>47</v>
      </c>
      <c r="E9" s="24">
        <v>23</v>
      </c>
      <c r="F9" s="24">
        <v>10</v>
      </c>
      <c r="G9" s="24">
        <v>37</v>
      </c>
      <c r="H9" s="24">
        <v>26</v>
      </c>
      <c r="I9" s="83">
        <f t="shared" si="0"/>
        <v>183</v>
      </c>
      <c r="J9" s="91">
        <f>I9/6</f>
        <v>30.5</v>
      </c>
      <c r="K9" s="164"/>
    </row>
    <row r="10" spans="1:12" ht="12.9" x14ac:dyDescent="0.35">
      <c r="A10" s="24">
        <v>83</v>
      </c>
      <c r="B10" s="24" t="s">
        <v>26</v>
      </c>
      <c r="C10" s="24">
        <v>38</v>
      </c>
      <c r="D10" s="24">
        <v>64</v>
      </c>
      <c r="E10" s="24">
        <v>80</v>
      </c>
      <c r="F10" s="24">
        <v>36</v>
      </c>
      <c r="G10" s="24">
        <v>57</v>
      </c>
      <c r="H10" s="24" t="s">
        <v>69</v>
      </c>
      <c r="I10" s="83">
        <f t="shared" si="0"/>
        <v>275</v>
      </c>
      <c r="J10" s="91">
        <f>I10/5</f>
        <v>55</v>
      </c>
      <c r="K10" s="164"/>
    </row>
    <row r="11" spans="1:12" ht="12.9" x14ac:dyDescent="0.35">
      <c r="A11" s="24">
        <v>84</v>
      </c>
      <c r="B11" s="24" t="s">
        <v>41</v>
      </c>
      <c r="C11" s="24">
        <v>174</v>
      </c>
      <c r="D11" s="24">
        <v>214</v>
      </c>
      <c r="E11" s="24">
        <v>158</v>
      </c>
      <c r="F11" s="24">
        <v>35</v>
      </c>
      <c r="G11" s="24">
        <v>70</v>
      </c>
      <c r="H11" s="24" t="s">
        <v>91</v>
      </c>
      <c r="I11" s="83">
        <f t="shared" si="0"/>
        <v>651</v>
      </c>
      <c r="J11" s="91">
        <f>I11/5</f>
        <v>130.19999999999999</v>
      </c>
      <c r="K11" s="164"/>
    </row>
    <row r="12" spans="1:12" ht="12.9" x14ac:dyDescent="0.35">
      <c r="A12" s="24">
        <v>85</v>
      </c>
      <c r="B12" s="24" t="s">
        <v>48</v>
      </c>
      <c r="C12" s="24">
        <v>210</v>
      </c>
      <c r="D12" s="24">
        <v>237</v>
      </c>
      <c r="E12" s="24">
        <v>194</v>
      </c>
      <c r="F12" s="24">
        <v>242</v>
      </c>
      <c r="G12" s="24">
        <v>303</v>
      </c>
      <c r="H12" s="24" t="s">
        <v>91</v>
      </c>
      <c r="I12" s="83">
        <f t="shared" si="0"/>
        <v>1186</v>
      </c>
      <c r="J12" s="91">
        <f>I12/5</f>
        <v>237.2</v>
      </c>
      <c r="K12" s="164"/>
    </row>
    <row r="13" spans="1:12" ht="13.3" thickBot="1" x14ac:dyDescent="0.4">
      <c r="A13" s="84">
        <v>87</v>
      </c>
      <c r="B13" s="84" t="s">
        <v>36</v>
      </c>
      <c r="C13" s="84">
        <v>34</v>
      </c>
      <c r="D13" s="84">
        <v>26</v>
      </c>
      <c r="E13" s="84" t="s">
        <v>69</v>
      </c>
      <c r="F13" s="84" t="s">
        <v>69</v>
      </c>
      <c r="G13" s="84" t="s">
        <v>69</v>
      </c>
      <c r="H13" s="84" t="s">
        <v>69</v>
      </c>
      <c r="I13" s="85">
        <f t="shared" si="0"/>
        <v>60</v>
      </c>
      <c r="J13" s="92">
        <f>I13/2</f>
        <v>30</v>
      </c>
      <c r="K13" s="164"/>
    </row>
    <row r="14" spans="1:12" x14ac:dyDescent="0.3">
      <c r="A14" s="93"/>
      <c r="B14" s="94" t="s">
        <v>20</v>
      </c>
      <c r="C14" s="95" t="s">
        <v>20</v>
      </c>
      <c r="D14" s="95"/>
      <c r="E14" s="95"/>
      <c r="F14" s="95"/>
      <c r="G14" s="95"/>
      <c r="H14" s="95"/>
      <c r="I14" s="96">
        <f>SUM(I3:I13)</f>
        <v>4034</v>
      </c>
      <c r="J14" s="150">
        <f>SUM(J3:J13)/11</f>
        <v>69.521212121212116</v>
      </c>
      <c r="L14" s="80">
        <f>SUM(J3:J13)</f>
        <v>764.73333333333335</v>
      </c>
    </row>
    <row r="15" spans="1:12" x14ac:dyDescent="0.3">
      <c r="L15" s="78">
        <f>764/11</f>
        <v>69.454545454545453</v>
      </c>
    </row>
  </sheetData>
  <mergeCells count="1">
    <mergeCell ref="C1:H1"/>
  </mergeCells>
  <pageMargins left="0.7" right="0.7" top="0.75" bottom="0.75" header="0.3" footer="0.3"/>
  <pageSetup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</sheetPr>
  <dimension ref="A1:J14"/>
  <sheetViews>
    <sheetView workbookViewId="0">
      <selection activeCell="I3" sqref="I3:J13"/>
    </sheetView>
  </sheetViews>
  <sheetFormatPr defaultColWidth="8.765625" defaultRowHeight="11.6" x14ac:dyDescent="0.3"/>
  <cols>
    <col min="1" max="1" width="8.765625" style="78"/>
    <col min="2" max="2" width="16.765625" style="78" customWidth="1"/>
    <col min="3" max="6" width="5.4609375" style="78" customWidth="1"/>
    <col min="7" max="8" width="6.3046875" style="78" customWidth="1"/>
    <col min="9" max="9" width="8.765625" style="78"/>
    <col min="10" max="10" width="8.765625" style="80"/>
    <col min="11" max="16384" width="8.765625" style="78"/>
  </cols>
  <sheetData>
    <row r="1" spans="1:10" x14ac:dyDescent="0.3">
      <c r="A1" s="87"/>
      <c r="B1" s="88"/>
      <c r="C1" s="276" t="s">
        <v>71</v>
      </c>
      <c r="D1" s="276"/>
      <c r="E1" s="276"/>
      <c r="F1" s="276"/>
      <c r="G1" s="276"/>
      <c r="H1" s="276"/>
      <c r="I1" s="88"/>
      <c r="J1" s="89"/>
    </row>
    <row r="2" spans="1:10" x14ac:dyDescent="0.3">
      <c r="A2" s="82" t="s">
        <v>0</v>
      </c>
      <c r="B2" s="81" t="s">
        <v>25</v>
      </c>
      <c r="C2" s="34">
        <v>1</v>
      </c>
      <c r="D2" s="97">
        <v>2</v>
      </c>
      <c r="E2" s="97">
        <v>3</v>
      </c>
      <c r="F2" s="97">
        <v>4</v>
      </c>
      <c r="G2" s="35">
        <v>5</v>
      </c>
      <c r="H2" s="33">
        <v>6</v>
      </c>
      <c r="I2" s="86" t="s">
        <v>9</v>
      </c>
      <c r="J2" s="90" t="s">
        <v>70</v>
      </c>
    </row>
    <row r="3" spans="1:10" x14ac:dyDescent="0.3">
      <c r="A3" s="24">
        <v>66</v>
      </c>
      <c r="B3" s="24" t="s">
        <v>52</v>
      </c>
      <c r="C3" s="82">
        <v>31</v>
      </c>
      <c r="D3" s="82">
        <v>52</v>
      </c>
      <c r="E3" s="82">
        <v>20</v>
      </c>
      <c r="F3" s="82">
        <v>26</v>
      </c>
      <c r="G3" s="82">
        <v>13</v>
      </c>
      <c r="H3" s="82">
        <v>31</v>
      </c>
      <c r="I3" s="83">
        <f>SUM(C3:H3)</f>
        <v>173</v>
      </c>
      <c r="J3" s="91">
        <f>I3/6</f>
        <v>28.833333333333332</v>
      </c>
    </row>
    <row r="4" spans="1:10" x14ac:dyDescent="0.3">
      <c r="A4" s="24">
        <v>72</v>
      </c>
      <c r="B4" s="24" t="s">
        <v>34</v>
      </c>
      <c r="C4" s="24">
        <v>7</v>
      </c>
      <c r="D4" s="24">
        <v>54</v>
      </c>
      <c r="E4" s="24">
        <v>42</v>
      </c>
      <c r="F4" s="24">
        <v>13</v>
      </c>
      <c r="G4" s="24">
        <v>10</v>
      </c>
      <c r="H4" s="24">
        <v>7</v>
      </c>
      <c r="I4" s="83">
        <f>SUM(C4:H4)</f>
        <v>133</v>
      </c>
      <c r="J4" s="91">
        <f>I4/6</f>
        <v>22.166666666666668</v>
      </c>
    </row>
    <row r="5" spans="1:10" x14ac:dyDescent="0.3">
      <c r="A5" s="24">
        <v>73</v>
      </c>
      <c r="B5" s="24" t="s">
        <v>50</v>
      </c>
      <c r="C5" s="24">
        <v>13</v>
      </c>
      <c r="D5" s="24">
        <v>4</v>
      </c>
      <c r="E5" s="24">
        <v>0</v>
      </c>
      <c r="F5" s="24">
        <v>22</v>
      </c>
      <c r="G5" s="24">
        <v>6</v>
      </c>
      <c r="H5" s="24">
        <v>3</v>
      </c>
      <c r="I5" s="83">
        <f>SUM(C5:H5)</f>
        <v>48</v>
      </c>
      <c r="J5" s="91">
        <f t="shared" ref="J5:J13" si="0">I5/6</f>
        <v>8</v>
      </c>
    </row>
    <row r="6" spans="1:10" x14ac:dyDescent="0.3">
      <c r="A6" s="24">
        <v>74</v>
      </c>
      <c r="B6" s="24" t="s">
        <v>37</v>
      </c>
      <c r="C6" s="24">
        <v>4</v>
      </c>
      <c r="D6" s="24">
        <v>7</v>
      </c>
      <c r="E6" s="24">
        <v>4</v>
      </c>
      <c r="F6" s="24">
        <v>2</v>
      </c>
      <c r="G6" s="24">
        <v>3</v>
      </c>
      <c r="H6" s="24">
        <v>4</v>
      </c>
      <c r="I6" s="83">
        <f t="shared" ref="I6:I13" si="1">SUM(C6:H6)</f>
        <v>24</v>
      </c>
      <c r="J6" s="91">
        <f t="shared" si="0"/>
        <v>4</v>
      </c>
    </row>
    <row r="7" spans="1:10" x14ac:dyDescent="0.3">
      <c r="A7" s="24">
        <v>75</v>
      </c>
      <c r="B7" s="24" t="s">
        <v>38</v>
      </c>
      <c r="C7" s="24">
        <v>8</v>
      </c>
      <c r="D7" s="24">
        <v>13</v>
      </c>
      <c r="E7" s="24">
        <v>36</v>
      </c>
      <c r="F7" s="24">
        <v>8</v>
      </c>
      <c r="G7" s="24">
        <v>62</v>
      </c>
      <c r="H7" s="24">
        <v>50</v>
      </c>
      <c r="I7" s="83">
        <f t="shared" si="1"/>
        <v>177</v>
      </c>
      <c r="J7" s="91">
        <f t="shared" si="0"/>
        <v>29.5</v>
      </c>
    </row>
    <row r="8" spans="1:10" x14ac:dyDescent="0.3">
      <c r="A8" s="24">
        <v>76</v>
      </c>
      <c r="B8" s="24" t="s">
        <v>39</v>
      </c>
      <c r="C8" s="24">
        <v>17</v>
      </c>
      <c r="D8" s="24">
        <v>10</v>
      </c>
      <c r="E8" s="24">
        <v>3</v>
      </c>
      <c r="F8" s="24">
        <v>4</v>
      </c>
      <c r="G8" s="24">
        <v>19</v>
      </c>
      <c r="H8" s="24">
        <v>3</v>
      </c>
      <c r="I8" s="83">
        <f t="shared" si="1"/>
        <v>56</v>
      </c>
      <c r="J8" s="91">
        <f t="shared" si="0"/>
        <v>9.3333333333333339</v>
      </c>
    </row>
    <row r="9" spans="1:10" x14ac:dyDescent="0.3">
      <c r="A9" s="24">
        <v>78</v>
      </c>
      <c r="B9" s="24" t="s">
        <v>40</v>
      </c>
      <c r="C9" s="24">
        <v>10</v>
      </c>
      <c r="D9" s="24">
        <v>4</v>
      </c>
      <c r="E9" s="24">
        <v>13</v>
      </c>
      <c r="F9" s="24">
        <v>11</v>
      </c>
      <c r="G9" s="24">
        <v>37</v>
      </c>
      <c r="H9" s="24">
        <v>22</v>
      </c>
      <c r="I9" s="83">
        <f t="shared" si="1"/>
        <v>97</v>
      </c>
      <c r="J9" s="91">
        <f t="shared" si="0"/>
        <v>16.166666666666668</v>
      </c>
    </row>
    <row r="10" spans="1:10" x14ac:dyDescent="0.3">
      <c r="A10" s="24">
        <v>83</v>
      </c>
      <c r="B10" s="24" t="s">
        <v>26</v>
      </c>
      <c r="C10" s="24">
        <v>1</v>
      </c>
      <c r="D10" s="24">
        <v>42</v>
      </c>
      <c r="E10" s="24">
        <v>11</v>
      </c>
      <c r="F10" s="24">
        <v>52</v>
      </c>
      <c r="G10" s="24">
        <v>22</v>
      </c>
      <c r="H10" s="24">
        <v>19</v>
      </c>
      <c r="I10" s="83">
        <f t="shared" si="1"/>
        <v>147</v>
      </c>
      <c r="J10" s="91">
        <f t="shared" si="0"/>
        <v>24.5</v>
      </c>
    </row>
    <row r="11" spans="1:10" x14ac:dyDescent="0.3">
      <c r="A11" s="24">
        <v>84</v>
      </c>
      <c r="B11" s="24" t="s">
        <v>41</v>
      </c>
      <c r="C11" s="24">
        <v>10</v>
      </c>
      <c r="D11" s="24">
        <v>17</v>
      </c>
      <c r="E11" s="24">
        <v>9</v>
      </c>
      <c r="F11" s="24">
        <v>44</v>
      </c>
      <c r="G11" s="24">
        <v>11</v>
      </c>
      <c r="H11" s="24">
        <v>3</v>
      </c>
      <c r="I11" s="83">
        <f t="shared" si="1"/>
        <v>94</v>
      </c>
      <c r="J11" s="91">
        <f t="shared" si="0"/>
        <v>15.666666666666666</v>
      </c>
    </row>
    <row r="12" spans="1:10" x14ac:dyDescent="0.3">
      <c r="A12" s="24">
        <v>85</v>
      </c>
      <c r="B12" s="24" t="s">
        <v>48</v>
      </c>
      <c r="C12" s="24">
        <v>66</v>
      </c>
      <c r="D12" s="24">
        <v>69</v>
      </c>
      <c r="E12" s="24">
        <v>15</v>
      </c>
      <c r="F12" s="24">
        <v>157</v>
      </c>
      <c r="G12" s="24">
        <v>63</v>
      </c>
      <c r="H12" s="24">
        <v>165</v>
      </c>
      <c r="I12" s="83">
        <f t="shared" si="1"/>
        <v>535</v>
      </c>
      <c r="J12" s="91">
        <f t="shared" si="0"/>
        <v>89.166666666666671</v>
      </c>
    </row>
    <row r="13" spans="1:10" ht="12" thickBot="1" x14ac:dyDescent="0.35">
      <c r="A13" s="84">
        <v>87</v>
      </c>
      <c r="B13" s="84" t="s">
        <v>36</v>
      </c>
      <c r="C13" s="84">
        <v>1</v>
      </c>
      <c r="D13" s="84">
        <v>57</v>
      </c>
      <c r="E13" s="84">
        <v>9</v>
      </c>
      <c r="F13" s="84">
        <v>2</v>
      </c>
      <c r="G13" s="84">
        <v>53</v>
      </c>
      <c r="H13" s="84">
        <v>42</v>
      </c>
      <c r="I13" s="85">
        <f t="shared" si="1"/>
        <v>164</v>
      </c>
      <c r="J13" s="92">
        <f t="shared" si="0"/>
        <v>27.333333333333332</v>
      </c>
    </row>
    <row r="14" spans="1:10" x14ac:dyDescent="0.3">
      <c r="A14" s="93"/>
      <c r="B14" s="94" t="s">
        <v>20</v>
      </c>
      <c r="C14" s="95" t="s">
        <v>20</v>
      </c>
      <c r="D14" s="95"/>
      <c r="E14" s="95"/>
      <c r="F14" s="95"/>
      <c r="G14" s="95"/>
      <c r="H14" s="95"/>
      <c r="I14" s="96">
        <f>SUM(I3:I13)</f>
        <v>1648</v>
      </c>
      <c r="J14" s="150">
        <f>SUM(J3:J13)/11</f>
        <v>24.969696969696965</v>
      </c>
    </row>
  </sheetData>
  <mergeCells count="1">
    <mergeCell ref="C1:H1"/>
  </mergeCells>
  <pageMargins left="0.7" right="0.7" top="0.75" bottom="0.75" header="0.3" footer="0.3"/>
  <pageSetup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</sheetPr>
  <dimension ref="A1:J14"/>
  <sheetViews>
    <sheetView workbookViewId="0">
      <selection activeCell="I3" sqref="I3:J13"/>
    </sheetView>
  </sheetViews>
  <sheetFormatPr defaultColWidth="8.765625" defaultRowHeight="11.6" x14ac:dyDescent="0.3"/>
  <cols>
    <col min="1" max="1" width="8.765625" style="78"/>
    <col min="2" max="2" width="16.765625" style="78" customWidth="1"/>
    <col min="3" max="6" width="5.4609375" style="78" customWidth="1"/>
    <col min="7" max="8" width="6.3046875" style="78" customWidth="1"/>
    <col min="9" max="9" width="8.765625" style="78"/>
    <col min="10" max="10" width="8.765625" style="80"/>
    <col min="11" max="16384" width="8.765625" style="78"/>
  </cols>
  <sheetData>
    <row r="1" spans="1:10" x14ac:dyDescent="0.3">
      <c r="A1" s="87"/>
      <c r="B1" s="88"/>
      <c r="C1" s="276" t="s">
        <v>71</v>
      </c>
      <c r="D1" s="276"/>
      <c r="E1" s="276"/>
      <c r="F1" s="276"/>
      <c r="G1" s="276"/>
      <c r="H1" s="276"/>
      <c r="I1" s="88"/>
      <c r="J1" s="89"/>
    </row>
    <row r="2" spans="1:10" x14ac:dyDescent="0.3">
      <c r="A2" s="82" t="s">
        <v>0</v>
      </c>
      <c r="B2" s="81" t="s">
        <v>25</v>
      </c>
      <c r="C2" s="34">
        <v>1</v>
      </c>
      <c r="D2" s="97">
        <v>2</v>
      </c>
      <c r="E2" s="97">
        <v>3</v>
      </c>
      <c r="F2" s="97">
        <v>4</v>
      </c>
      <c r="G2" s="35">
        <v>5</v>
      </c>
      <c r="H2" s="33">
        <v>6</v>
      </c>
      <c r="I2" s="86" t="s">
        <v>9</v>
      </c>
      <c r="J2" s="90" t="s">
        <v>70</v>
      </c>
    </row>
    <row r="3" spans="1:10" x14ac:dyDescent="0.3">
      <c r="A3" s="24">
        <v>66</v>
      </c>
      <c r="B3" s="24" t="s">
        <v>52</v>
      </c>
      <c r="C3" s="82">
        <v>2</v>
      </c>
      <c r="D3" s="82">
        <v>1</v>
      </c>
      <c r="E3" s="82">
        <v>2</v>
      </c>
      <c r="F3" s="82">
        <v>0</v>
      </c>
      <c r="G3" s="82" t="s">
        <v>69</v>
      </c>
      <c r="H3" s="82">
        <v>1</v>
      </c>
      <c r="I3" s="83">
        <v>6</v>
      </c>
      <c r="J3" s="91">
        <f>I3/5</f>
        <v>1.2</v>
      </c>
    </row>
    <row r="4" spans="1:10" x14ac:dyDescent="0.3">
      <c r="A4" s="24">
        <v>72</v>
      </c>
      <c r="B4" s="24" t="s">
        <v>34</v>
      </c>
      <c r="C4" s="24">
        <v>0</v>
      </c>
      <c r="D4" s="24">
        <v>1</v>
      </c>
      <c r="E4" s="24">
        <v>4</v>
      </c>
      <c r="F4" s="24">
        <v>2</v>
      </c>
      <c r="G4" s="24">
        <v>0</v>
      </c>
      <c r="H4" s="24">
        <v>0</v>
      </c>
      <c r="I4" s="83">
        <v>7</v>
      </c>
      <c r="J4" s="91">
        <v>1.2</v>
      </c>
    </row>
    <row r="5" spans="1:10" x14ac:dyDescent="0.3">
      <c r="A5" s="24">
        <v>73</v>
      </c>
      <c r="B5" s="24" t="s">
        <v>50</v>
      </c>
      <c r="C5" s="24">
        <v>0</v>
      </c>
      <c r="D5" s="24">
        <v>1</v>
      </c>
      <c r="E5" s="24">
        <v>2</v>
      </c>
      <c r="F5" s="24">
        <v>0</v>
      </c>
      <c r="G5" s="24">
        <v>2</v>
      </c>
      <c r="H5" s="24">
        <v>0</v>
      </c>
      <c r="I5" s="83">
        <f>SUM(C5:H5)</f>
        <v>5</v>
      </c>
      <c r="J5" s="91">
        <f t="shared" ref="J5:J13" si="0">I5/6</f>
        <v>0.83333333333333337</v>
      </c>
    </row>
    <row r="6" spans="1:10" x14ac:dyDescent="0.3">
      <c r="A6" s="24">
        <v>74</v>
      </c>
      <c r="B6" s="24" t="s">
        <v>37</v>
      </c>
      <c r="C6" s="24">
        <v>3</v>
      </c>
      <c r="D6" s="24">
        <v>2</v>
      </c>
      <c r="E6" s="24">
        <v>0</v>
      </c>
      <c r="F6" s="24">
        <v>2</v>
      </c>
      <c r="G6" s="24">
        <v>5</v>
      </c>
      <c r="H6" s="24">
        <v>5</v>
      </c>
      <c r="I6" s="83">
        <f t="shared" ref="I6:I13" si="1">SUM(C6:H6)</f>
        <v>17</v>
      </c>
      <c r="J6" s="91">
        <f t="shared" si="0"/>
        <v>2.8333333333333335</v>
      </c>
    </row>
    <row r="7" spans="1:10" x14ac:dyDescent="0.3">
      <c r="A7" s="24">
        <v>75</v>
      </c>
      <c r="B7" s="24" t="s">
        <v>38</v>
      </c>
      <c r="C7" s="24">
        <v>0</v>
      </c>
      <c r="D7" s="24">
        <v>3</v>
      </c>
      <c r="E7" s="24">
        <v>3</v>
      </c>
      <c r="F7" s="24">
        <v>0</v>
      </c>
      <c r="G7" s="24">
        <v>0</v>
      </c>
      <c r="H7" s="24">
        <v>0</v>
      </c>
      <c r="I7" s="83">
        <f t="shared" si="1"/>
        <v>6</v>
      </c>
      <c r="J7" s="91">
        <f t="shared" si="0"/>
        <v>1</v>
      </c>
    </row>
    <row r="8" spans="1:10" x14ac:dyDescent="0.3">
      <c r="A8" s="24">
        <v>76</v>
      </c>
      <c r="B8" s="24" t="s">
        <v>39</v>
      </c>
      <c r="C8" s="24">
        <v>1</v>
      </c>
      <c r="D8" s="24">
        <v>2</v>
      </c>
      <c r="E8" s="24">
        <v>0</v>
      </c>
      <c r="F8" s="24">
        <v>0</v>
      </c>
      <c r="G8" s="24">
        <v>1</v>
      </c>
      <c r="H8" s="24">
        <v>0</v>
      </c>
      <c r="I8" s="83">
        <f t="shared" si="1"/>
        <v>4</v>
      </c>
      <c r="J8" s="91">
        <f t="shared" si="0"/>
        <v>0.66666666666666663</v>
      </c>
    </row>
    <row r="9" spans="1:10" x14ac:dyDescent="0.3">
      <c r="A9" s="24">
        <v>78</v>
      </c>
      <c r="B9" s="24" t="s">
        <v>40</v>
      </c>
      <c r="C9" s="24">
        <v>3</v>
      </c>
      <c r="D9" s="24">
        <v>4</v>
      </c>
      <c r="E9" s="24">
        <v>0</v>
      </c>
      <c r="F9" s="24">
        <v>0</v>
      </c>
      <c r="G9" s="24">
        <v>0</v>
      </c>
      <c r="H9" s="24">
        <v>0</v>
      </c>
      <c r="I9" s="83">
        <f t="shared" si="1"/>
        <v>7</v>
      </c>
      <c r="J9" s="91">
        <f t="shared" si="0"/>
        <v>1.1666666666666667</v>
      </c>
    </row>
    <row r="10" spans="1:10" x14ac:dyDescent="0.3">
      <c r="A10" s="24">
        <v>83</v>
      </c>
      <c r="B10" s="24" t="s">
        <v>26</v>
      </c>
      <c r="C10" s="24">
        <v>0</v>
      </c>
      <c r="D10" s="24">
        <v>2</v>
      </c>
      <c r="E10" s="24">
        <v>1</v>
      </c>
      <c r="F10" s="24">
        <v>3</v>
      </c>
      <c r="G10" s="24">
        <v>1</v>
      </c>
      <c r="H10" s="24">
        <v>0</v>
      </c>
      <c r="I10" s="83">
        <f t="shared" si="1"/>
        <v>7</v>
      </c>
      <c r="J10" s="91">
        <f t="shared" si="0"/>
        <v>1.1666666666666667</v>
      </c>
    </row>
    <row r="11" spans="1:10" x14ac:dyDescent="0.3">
      <c r="A11" s="24">
        <v>84</v>
      </c>
      <c r="B11" s="24" t="s">
        <v>41</v>
      </c>
      <c r="C11" s="24">
        <v>7</v>
      </c>
      <c r="D11" s="24">
        <v>0</v>
      </c>
      <c r="E11" s="24">
        <v>3</v>
      </c>
      <c r="F11" s="24">
        <v>1</v>
      </c>
      <c r="G11" s="24">
        <v>0</v>
      </c>
      <c r="H11" s="24">
        <v>0</v>
      </c>
      <c r="I11" s="83">
        <f t="shared" si="1"/>
        <v>11</v>
      </c>
      <c r="J11" s="91">
        <f t="shared" si="0"/>
        <v>1.8333333333333333</v>
      </c>
    </row>
    <row r="12" spans="1:10" x14ac:dyDescent="0.3">
      <c r="A12" s="24">
        <v>85</v>
      </c>
      <c r="B12" s="24" t="s">
        <v>48</v>
      </c>
      <c r="C12" s="24">
        <v>8</v>
      </c>
      <c r="D12" s="24">
        <v>9</v>
      </c>
      <c r="E12" s="24">
        <v>12</v>
      </c>
      <c r="F12" s="24">
        <v>3</v>
      </c>
      <c r="G12" s="24">
        <v>10</v>
      </c>
      <c r="H12" s="24">
        <v>3</v>
      </c>
      <c r="I12" s="83">
        <f t="shared" si="1"/>
        <v>45</v>
      </c>
      <c r="J12" s="91">
        <f t="shared" si="0"/>
        <v>7.5</v>
      </c>
    </row>
    <row r="13" spans="1:10" ht="12" thickBot="1" x14ac:dyDescent="0.35">
      <c r="A13" s="84">
        <v>87</v>
      </c>
      <c r="B13" s="84" t="s">
        <v>36</v>
      </c>
      <c r="C13" s="84">
        <v>0</v>
      </c>
      <c r="D13" s="84">
        <v>1</v>
      </c>
      <c r="E13" s="84">
        <v>4</v>
      </c>
      <c r="F13" s="84">
        <v>1</v>
      </c>
      <c r="G13" s="84">
        <v>0</v>
      </c>
      <c r="H13" s="84">
        <v>0</v>
      </c>
      <c r="I13" s="85">
        <f t="shared" si="1"/>
        <v>6</v>
      </c>
      <c r="J13" s="92">
        <f t="shared" si="0"/>
        <v>1</v>
      </c>
    </row>
    <row r="14" spans="1:10" x14ac:dyDescent="0.3">
      <c r="A14" s="93"/>
      <c r="B14" s="94" t="s">
        <v>20</v>
      </c>
      <c r="C14" s="95" t="s">
        <v>20</v>
      </c>
      <c r="D14" s="95"/>
      <c r="E14" s="95"/>
      <c r="F14" s="95"/>
      <c r="G14" s="95"/>
      <c r="H14" s="95"/>
      <c r="I14" s="96">
        <f>SUM(I3:I13)</f>
        <v>121</v>
      </c>
      <c r="J14" s="150">
        <f>SUM(J3:J13)/11</f>
        <v>1.8545454545454545</v>
      </c>
    </row>
  </sheetData>
  <mergeCells count="1">
    <mergeCell ref="C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A1:U28"/>
  <sheetViews>
    <sheetView topLeftCell="L28" zoomScale="80" zoomScaleNormal="80" workbookViewId="0">
      <selection activeCell="P9" sqref="P9"/>
    </sheetView>
  </sheetViews>
  <sheetFormatPr defaultColWidth="8.765625" defaultRowHeight="12.45" x14ac:dyDescent="0.3"/>
  <cols>
    <col min="1" max="1" width="11.07421875" customWidth="1"/>
    <col min="3" max="8" width="13.07421875" customWidth="1"/>
    <col min="9" max="9" width="8.69140625" customWidth="1"/>
    <col min="10" max="13" width="13.07421875" customWidth="1"/>
    <col min="14" max="15" width="8.765625" customWidth="1"/>
  </cols>
  <sheetData>
    <row r="1" spans="1:21" x14ac:dyDescent="0.3">
      <c r="A1" s="217" t="s">
        <v>158</v>
      </c>
      <c r="B1" s="219" t="s">
        <v>111</v>
      </c>
      <c r="C1" s="217" t="s">
        <v>112</v>
      </c>
      <c r="D1" s="219">
        <v>2000</v>
      </c>
      <c r="E1" s="219">
        <v>2001</v>
      </c>
      <c r="F1" s="219">
        <v>2002</v>
      </c>
      <c r="G1" s="219">
        <v>2003</v>
      </c>
      <c r="H1" s="219">
        <v>2004</v>
      </c>
      <c r="I1" s="219">
        <v>2005</v>
      </c>
      <c r="J1" s="219">
        <v>2006</v>
      </c>
      <c r="K1" s="219">
        <v>2007</v>
      </c>
      <c r="L1" s="219">
        <v>2008</v>
      </c>
      <c r="M1" s="219">
        <v>2009</v>
      </c>
      <c r="N1" s="219">
        <v>2010</v>
      </c>
      <c r="O1" s="219">
        <v>2011</v>
      </c>
      <c r="P1" s="213">
        <v>2012</v>
      </c>
      <c r="Q1" s="213">
        <v>2013</v>
      </c>
      <c r="R1" s="213">
        <v>2014</v>
      </c>
      <c r="S1" s="213">
        <v>2015</v>
      </c>
      <c r="T1" s="213">
        <v>2016</v>
      </c>
      <c r="U1" s="213">
        <v>2017</v>
      </c>
    </row>
    <row r="2" spans="1:21" ht="12.9" x14ac:dyDescent="0.35">
      <c r="A2" s="217" t="s">
        <v>160</v>
      </c>
      <c r="B2" s="181">
        <v>30</v>
      </c>
      <c r="C2" s="173" t="s">
        <v>89</v>
      </c>
      <c r="D2" s="220">
        <v>1</v>
      </c>
      <c r="E2" s="220">
        <v>0</v>
      </c>
      <c r="F2" s="220">
        <v>2</v>
      </c>
      <c r="G2" s="220">
        <v>7</v>
      </c>
      <c r="H2" s="221">
        <v>0</v>
      </c>
      <c r="I2" s="182">
        <v>0</v>
      </c>
      <c r="J2" s="182">
        <v>0</v>
      </c>
      <c r="K2" s="222">
        <v>0</v>
      </c>
      <c r="L2" s="222">
        <v>0</v>
      </c>
      <c r="M2" s="222">
        <v>1</v>
      </c>
      <c r="N2" s="222">
        <v>0</v>
      </c>
      <c r="O2" s="190">
        <v>0</v>
      </c>
      <c r="P2" s="211">
        <v>0</v>
      </c>
      <c r="Q2" s="215">
        <v>0</v>
      </c>
      <c r="R2" s="218">
        <v>0</v>
      </c>
      <c r="S2" s="218">
        <v>0</v>
      </c>
      <c r="T2" s="218">
        <v>0</v>
      </c>
      <c r="U2" s="218">
        <v>0</v>
      </c>
    </row>
    <row r="3" spans="1:21" ht="12.9" x14ac:dyDescent="0.35">
      <c r="A3" s="217" t="s">
        <v>160</v>
      </c>
      <c r="B3" s="181">
        <v>38</v>
      </c>
      <c r="C3" s="173" t="s">
        <v>43</v>
      </c>
      <c r="D3" s="220">
        <v>0</v>
      </c>
      <c r="E3" s="220">
        <v>4</v>
      </c>
      <c r="F3" s="220">
        <v>21</v>
      </c>
      <c r="G3" s="220">
        <v>31</v>
      </c>
      <c r="H3" s="221">
        <v>0</v>
      </c>
      <c r="I3" s="182">
        <v>0</v>
      </c>
      <c r="J3" s="182">
        <v>8.5714285714285712</v>
      </c>
      <c r="K3" s="222">
        <v>0</v>
      </c>
      <c r="L3" s="222">
        <v>0</v>
      </c>
      <c r="M3" s="222">
        <v>1</v>
      </c>
      <c r="N3" s="222">
        <v>1</v>
      </c>
      <c r="O3" s="190">
        <v>2</v>
      </c>
      <c r="P3" s="211">
        <v>0</v>
      </c>
      <c r="Q3" s="216">
        <v>0</v>
      </c>
      <c r="R3" s="218">
        <v>0</v>
      </c>
      <c r="S3" s="218">
        <v>0</v>
      </c>
      <c r="T3" s="218">
        <v>0</v>
      </c>
      <c r="U3" s="218">
        <v>0</v>
      </c>
    </row>
    <row r="4" spans="1:21" ht="12.9" x14ac:dyDescent="0.35">
      <c r="A4" s="217" t="s">
        <v>160</v>
      </c>
      <c r="B4" s="181">
        <v>58</v>
      </c>
      <c r="C4" s="173" t="s">
        <v>44</v>
      </c>
      <c r="D4" s="220">
        <v>1</v>
      </c>
      <c r="E4" s="220">
        <v>17</v>
      </c>
      <c r="F4" s="220">
        <v>62</v>
      </c>
      <c r="G4" s="220">
        <v>46</v>
      </c>
      <c r="H4" s="221">
        <v>0</v>
      </c>
      <c r="I4" s="182">
        <v>0</v>
      </c>
      <c r="J4" s="182">
        <v>0</v>
      </c>
      <c r="K4" s="222">
        <v>0</v>
      </c>
      <c r="L4" s="222">
        <v>1</v>
      </c>
      <c r="M4" s="222">
        <v>1</v>
      </c>
      <c r="N4" s="222">
        <v>0</v>
      </c>
      <c r="O4" s="190">
        <v>4</v>
      </c>
      <c r="P4" s="211">
        <v>0</v>
      </c>
      <c r="Q4" s="216">
        <v>0</v>
      </c>
      <c r="R4" s="218">
        <v>0</v>
      </c>
      <c r="S4" s="218">
        <v>0</v>
      </c>
      <c r="T4" s="218">
        <v>0</v>
      </c>
      <c r="U4" s="218">
        <v>0</v>
      </c>
    </row>
    <row r="5" spans="1:21" ht="12.9" x14ac:dyDescent="0.35">
      <c r="A5" s="217" t="s">
        <v>160</v>
      </c>
      <c r="B5" s="181">
        <v>61</v>
      </c>
      <c r="C5" s="173" t="s">
        <v>45</v>
      </c>
      <c r="D5" s="220">
        <v>1</v>
      </c>
      <c r="E5" s="220">
        <v>0</v>
      </c>
      <c r="F5" s="223">
        <v>3</v>
      </c>
      <c r="G5" s="223">
        <v>9</v>
      </c>
      <c r="H5" s="221">
        <v>0</v>
      </c>
      <c r="I5" s="182">
        <v>0</v>
      </c>
      <c r="J5" s="182">
        <v>0</v>
      </c>
      <c r="K5" s="222">
        <v>0</v>
      </c>
      <c r="L5" s="222">
        <v>0</v>
      </c>
      <c r="M5" s="222">
        <v>1</v>
      </c>
      <c r="N5" s="222">
        <v>1</v>
      </c>
      <c r="O5" s="190">
        <v>1</v>
      </c>
      <c r="P5" s="211">
        <v>0</v>
      </c>
      <c r="Q5" s="216">
        <v>0</v>
      </c>
      <c r="R5" s="218">
        <v>0</v>
      </c>
      <c r="S5" s="218">
        <v>0</v>
      </c>
      <c r="T5" s="218">
        <v>0</v>
      </c>
      <c r="U5" s="218">
        <v>0</v>
      </c>
    </row>
    <row r="6" spans="1:21" ht="12.9" x14ac:dyDescent="0.35">
      <c r="A6" s="217" t="s">
        <v>160</v>
      </c>
      <c r="B6" s="181">
        <v>62</v>
      </c>
      <c r="C6" s="173" t="s">
        <v>130</v>
      </c>
      <c r="D6" s="220">
        <v>1</v>
      </c>
      <c r="E6" s="220">
        <v>10</v>
      </c>
      <c r="F6" s="220">
        <v>83</v>
      </c>
      <c r="G6" s="220">
        <v>313</v>
      </c>
      <c r="H6" s="221">
        <v>2.8571428571428572</v>
      </c>
      <c r="I6" s="182">
        <v>0</v>
      </c>
      <c r="J6" s="182">
        <v>0</v>
      </c>
      <c r="K6" s="222">
        <v>0</v>
      </c>
      <c r="L6" s="222">
        <v>0</v>
      </c>
      <c r="M6" s="222">
        <v>4</v>
      </c>
      <c r="N6" s="222">
        <v>7</v>
      </c>
      <c r="O6" s="190">
        <v>5</v>
      </c>
      <c r="P6" s="211">
        <v>0</v>
      </c>
      <c r="Q6" s="216">
        <v>0</v>
      </c>
      <c r="R6" s="218">
        <v>0</v>
      </c>
      <c r="S6" s="218">
        <v>0</v>
      </c>
      <c r="T6" s="218">
        <v>0</v>
      </c>
      <c r="U6" s="218">
        <v>0</v>
      </c>
    </row>
    <row r="7" spans="1:21" ht="12.9" x14ac:dyDescent="0.35">
      <c r="A7" s="217" t="s">
        <v>160</v>
      </c>
      <c r="B7" s="181">
        <v>65</v>
      </c>
      <c r="C7" s="173" t="s">
        <v>47</v>
      </c>
      <c r="D7" s="220">
        <v>0</v>
      </c>
      <c r="E7" s="220">
        <v>68</v>
      </c>
      <c r="F7" s="220">
        <v>879</v>
      </c>
      <c r="G7" s="220">
        <v>87</v>
      </c>
      <c r="H7" s="221">
        <v>2.8571428571428572</v>
      </c>
      <c r="I7" s="182">
        <v>0</v>
      </c>
      <c r="J7" s="182">
        <v>0</v>
      </c>
      <c r="K7" s="222">
        <v>1</v>
      </c>
      <c r="L7" s="222">
        <v>0</v>
      </c>
      <c r="M7" s="222">
        <v>1</v>
      </c>
      <c r="N7" s="222">
        <v>0</v>
      </c>
      <c r="O7" s="190">
        <v>3</v>
      </c>
      <c r="P7" s="211">
        <v>2</v>
      </c>
      <c r="Q7" s="216">
        <v>0</v>
      </c>
      <c r="R7" s="218">
        <v>0</v>
      </c>
      <c r="S7" s="218">
        <v>0</v>
      </c>
      <c r="T7" s="218">
        <v>0</v>
      </c>
      <c r="U7" s="218">
        <v>0</v>
      </c>
    </row>
    <row r="8" spans="1:21" ht="12.9" x14ac:dyDescent="0.35">
      <c r="A8" s="217" t="s">
        <v>160</v>
      </c>
      <c r="B8" s="181">
        <v>66</v>
      </c>
      <c r="C8" s="173" t="s">
        <v>52</v>
      </c>
      <c r="D8" s="220">
        <v>1</v>
      </c>
      <c r="E8" s="220">
        <v>37</v>
      </c>
      <c r="F8" s="220">
        <v>67</v>
      </c>
      <c r="G8" s="220">
        <v>39</v>
      </c>
      <c r="H8" s="221">
        <v>31.428571428571431</v>
      </c>
      <c r="I8" s="182">
        <v>0</v>
      </c>
      <c r="J8" s="182">
        <v>0</v>
      </c>
      <c r="K8" s="222">
        <v>0</v>
      </c>
      <c r="L8" s="222">
        <v>0</v>
      </c>
      <c r="M8" s="222">
        <v>0</v>
      </c>
      <c r="N8" s="222">
        <v>1</v>
      </c>
      <c r="O8" s="190">
        <v>3</v>
      </c>
      <c r="P8" s="211">
        <v>12</v>
      </c>
      <c r="Q8" s="216">
        <v>3</v>
      </c>
      <c r="R8" s="218">
        <v>0</v>
      </c>
      <c r="S8" s="218">
        <v>0</v>
      </c>
      <c r="T8" s="218">
        <v>0</v>
      </c>
      <c r="U8" s="218">
        <v>0</v>
      </c>
    </row>
    <row r="9" spans="1:21" ht="12.9" x14ac:dyDescent="0.35">
      <c r="A9" s="217" t="s">
        <v>160</v>
      </c>
      <c r="B9" s="181">
        <v>70</v>
      </c>
      <c r="C9" s="173" t="s">
        <v>27</v>
      </c>
      <c r="D9" s="220">
        <v>0</v>
      </c>
      <c r="E9" s="220">
        <v>2</v>
      </c>
      <c r="F9" s="220">
        <v>47</v>
      </c>
      <c r="G9" s="220">
        <v>84</v>
      </c>
      <c r="H9" s="221">
        <v>0</v>
      </c>
      <c r="I9" s="182">
        <v>0</v>
      </c>
      <c r="J9" s="182">
        <v>0</v>
      </c>
      <c r="K9" s="222">
        <v>0</v>
      </c>
      <c r="L9" s="222">
        <v>1</v>
      </c>
      <c r="M9" s="222">
        <v>1</v>
      </c>
      <c r="N9" s="222">
        <v>0</v>
      </c>
      <c r="O9" s="190">
        <v>1</v>
      </c>
      <c r="P9" s="211">
        <v>0</v>
      </c>
      <c r="Q9" s="216">
        <v>0</v>
      </c>
      <c r="R9" s="218">
        <v>0</v>
      </c>
      <c r="S9" s="218">
        <v>0</v>
      </c>
      <c r="T9" s="218">
        <v>0</v>
      </c>
      <c r="U9" s="218">
        <v>0</v>
      </c>
    </row>
    <row r="10" spans="1:21" ht="12.9" x14ac:dyDescent="0.35">
      <c r="A10" s="217" t="s">
        <v>160</v>
      </c>
      <c r="B10" s="181">
        <v>71</v>
      </c>
      <c r="C10" s="173" t="s">
        <v>28</v>
      </c>
      <c r="D10" s="220">
        <v>3</v>
      </c>
      <c r="E10" s="220">
        <v>204</v>
      </c>
      <c r="F10" s="220">
        <v>544</v>
      </c>
      <c r="G10" s="220">
        <v>90</v>
      </c>
      <c r="H10" s="221">
        <v>2.8571428571428572</v>
      </c>
      <c r="I10" s="182">
        <v>0</v>
      </c>
      <c r="J10" s="182">
        <v>2.8571428571428572</v>
      </c>
      <c r="K10" s="222">
        <v>0</v>
      </c>
      <c r="L10" s="222">
        <v>0</v>
      </c>
      <c r="M10" s="222">
        <v>1</v>
      </c>
      <c r="N10" s="222">
        <v>0</v>
      </c>
      <c r="O10" s="224">
        <v>45</v>
      </c>
      <c r="P10" s="211">
        <v>0</v>
      </c>
      <c r="Q10" s="216">
        <v>0</v>
      </c>
      <c r="R10" s="218">
        <v>1</v>
      </c>
      <c r="S10" s="218">
        <v>0</v>
      </c>
      <c r="T10" s="218">
        <v>0</v>
      </c>
      <c r="U10" s="218">
        <v>0</v>
      </c>
    </row>
    <row r="11" spans="1:21" ht="12.9" x14ac:dyDescent="0.35">
      <c r="A11" s="217" t="s">
        <v>160</v>
      </c>
      <c r="B11" s="181">
        <v>79</v>
      </c>
      <c r="C11" s="173" t="s">
        <v>29</v>
      </c>
      <c r="D11" s="220">
        <v>0</v>
      </c>
      <c r="E11" s="220">
        <v>1</v>
      </c>
      <c r="F11" s="220">
        <v>0</v>
      </c>
      <c r="G11" s="220">
        <v>1</v>
      </c>
      <c r="H11" s="221">
        <v>0</v>
      </c>
      <c r="I11" s="182">
        <v>0</v>
      </c>
      <c r="J11" s="182">
        <v>0</v>
      </c>
      <c r="K11" s="222">
        <v>0</v>
      </c>
      <c r="L11" s="222">
        <v>0</v>
      </c>
      <c r="M11" s="222">
        <v>1</v>
      </c>
      <c r="N11" s="222">
        <v>0</v>
      </c>
      <c r="O11" s="190">
        <v>0</v>
      </c>
      <c r="P11" s="211">
        <v>0</v>
      </c>
      <c r="Q11" s="216">
        <v>0</v>
      </c>
      <c r="R11" s="214">
        <v>0</v>
      </c>
      <c r="S11" s="218">
        <v>0</v>
      </c>
      <c r="T11" s="218">
        <v>1</v>
      </c>
      <c r="U11" s="218">
        <v>0</v>
      </c>
    </row>
    <row r="12" spans="1:21" ht="12.9" x14ac:dyDescent="0.35">
      <c r="A12" s="217" t="s">
        <v>160</v>
      </c>
      <c r="B12" s="181">
        <v>80</v>
      </c>
      <c r="C12" s="173" t="s">
        <v>30</v>
      </c>
      <c r="D12" s="220">
        <v>0</v>
      </c>
      <c r="E12" s="220">
        <v>6</v>
      </c>
      <c r="F12" s="220">
        <v>15</v>
      </c>
      <c r="G12" s="220">
        <v>47</v>
      </c>
      <c r="H12" s="221">
        <v>0</v>
      </c>
      <c r="I12" s="182">
        <v>0</v>
      </c>
      <c r="J12" s="182">
        <v>0</v>
      </c>
      <c r="K12" s="222">
        <v>0</v>
      </c>
      <c r="L12" s="222">
        <v>1</v>
      </c>
      <c r="M12" s="222">
        <v>2</v>
      </c>
      <c r="N12" s="222">
        <v>0</v>
      </c>
      <c r="O12" s="190">
        <v>0</v>
      </c>
      <c r="P12" s="211">
        <v>0</v>
      </c>
      <c r="Q12" s="216">
        <v>0</v>
      </c>
      <c r="R12" s="214">
        <v>0</v>
      </c>
      <c r="S12" s="218">
        <v>0</v>
      </c>
      <c r="T12" s="218">
        <v>0</v>
      </c>
      <c r="U12" s="218">
        <v>0</v>
      </c>
    </row>
    <row r="13" spans="1:21" ht="12.9" x14ac:dyDescent="0.35">
      <c r="A13" s="217" t="s">
        <v>160</v>
      </c>
      <c r="B13" s="181">
        <v>81</v>
      </c>
      <c r="C13" s="173" t="s">
        <v>31</v>
      </c>
      <c r="D13" s="220">
        <v>2</v>
      </c>
      <c r="E13" s="220">
        <v>5</v>
      </c>
      <c r="F13" s="220">
        <v>6</v>
      </c>
      <c r="G13" s="220">
        <v>14</v>
      </c>
      <c r="H13" s="221">
        <v>0</v>
      </c>
      <c r="I13" s="182">
        <v>0</v>
      </c>
      <c r="J13" s="182">
        <v>0</v>
      </c>
      <c r="K13" s="222">
        <v>0</v>
      </c>
      <c r="L13" s="222">
        <v>0</v>
      </c>
      <c r="M13" s="222">
        <v>0</v>
      </c>
      <c r="N13" s="222">
        <v>2</v>
      </c>
      <c r="O13" s="190">
        <v>0</v>
      </c>
      <c r="P13" s="211">
        <v>0</v>
      </c>
      <c r="Q13" s="216">
        <v>0</v>
      </c>
      <c r="R13" s="214">
        <v>0</v>
      </c>
      <c r="S13" s="218">
        <v>0</v>
      </c>
      <c r="T13" s="218">
        <v>0</v>
      </c>
      <c r="U13" s="218">
        <v>0</v>
      </c>
    </row>
    <row r="14" spans="1:21" ht="12.9" x14ac:dyDescent="0.35">
      <c r="A14" s="217" t="s">
        <v>160</v>
      </c>
      <c r="B14" s="181">
        <v>82</v>
      </c>
      <c r="C14" s="173" t="s">
        <v>32</v>
      </c>
      <c r="D14" s="220">
        <v>0</v>
      </c>
      <c r="E14" s="220">
        <v>10</v>
      </c>
      <c r="F14" s="220">
        <v>1</v>
      </c>
      <c r="G14" s="220">
        <v>1</v>
      </c>
      <c r="H14" s="221">
        <v>11.428571428571429</v>
      </c>
      <c r="I14" s="182">
        <v>0</v>
      </c>
      <c r="J14" s="182">
        <v>0</v>
      </c>
      <c r="K14" s="222">
        <v>0</v>
      </c>
      <c r="L14" s="222">
        <v>0</v>
      </c>
      <c r="M14" s="222">
        <v>0</v>
      </c>
      <c r="N14" s="222">
        <v>2</v>
      </c>
      <c r="O14" s="224">
        <v>9</v>
      </c>
      <c r="P14" s="211">
        <v>8</v>
      </c>
      <c r="Q14" s="216">
        <v>0</v>
      </c>
      <c r="R14" s="214">
        <v>0</v>
      </c>
      <c r="S14" s="218">
        <v>0</v>
      </c>
      <c r="T14" s="218">
        <v>0</v>
      </c>
      <c r="U14" s="218">
        <v>0</v>
      </c>
    </row>
    <row r="15" spans="1:21" s="57" customFormat="1" ht="12.9" x14ac:dyDescent="0.35">
      <c r="A15" s="226"/>
      <c r="B15" s="228"/>
      <c r="C15" s="229"/>
      <c r="D15" s="230">
        <f>AVERAGE(D2:D14)</f>
        <v>0.76923076923076927</v>
      </c>
      <c r="E15" s="230">
        <f t="shared" ref="E15:O15" si="0">AVERAGE(E2:E14)</f>
        <v>28</v>
      </c>
      <c r="F15" s="230">
        <f t="shared" si="0"/>
        <v>133.07692307692307</v>
      </c>
      <c r="G15" s="230">
        <f t="shared" si="0"/>
        <v>59.153846153846153</v>
      </c>
      <c r="H15" s="230">
        <f t="shared" si="0"/>
        <v>3.9560439560439562</v>
      </c>
      <c r="I15" s="230">
        <f t="shared" si="0"/>
        <v>0</v>
      </c>
      <c r="J15" s="230">
        <f t="shared" si="0"/>
        <v>0.87912087912087911</v>
      </c>
      <c r="K15" s="230">
        <f t="shared" si="0"/>
        <v>7.6923076923076927E-2</v>
      </c>
      <c r="L15" s="230">
        <f t="shared" si="0"/>
        <v>0.23076923076923078</v>
      </c>
      <c r="M15" s="230">
        <f t="shared" si="0"/>
        <v>1.0769230769230769</v>
      </c>
      <c r="N15" s="231">
        <f>AVERAGE(N2:N14)</f>
        <v>1.0769230769230769</v>
      </c>
      <c r="O15" s="232">
        <f t="shared" si="0"/>
        <v>5.615384615384615</v>
      </c>
      <c r="P15" s="233">
        <f>22/12</f>
        <v>1.8333333333333333</v>
      </c>
      <c r="Q15" s="234">
        <f>3/12</f>
        <v>0.25</v>
      </c>
      <c r="R15" s="227">
        <f>1/12</f>
        <v>8.3333333333333329E-2</v>
      </c>
      <c r="S15" s="227">
        <v>0</v>
      </c>
      <c r="T15" s="227">
        <f>AVERAGE(T2:T14)</f>
        <v>7.6923076923076927E-2</v>
      </c>
      <c r="U15" s="218">
        <v>0</v>
      </c>
    </row>
    <row r="16" spans="1:21" ht="12.9" x14ac:dyDescent="0.35">
      <c r="A16" s="217" t="s">
        <v>159</v>
      </c>
      <c r="B16" s="181">
        <v>69</v>
      </c>
      <c r="C16" s="173" t="s">
        <v>33</v>
      </c>
      <c r="D16" s="220">
        <v>0</v>
      </c>
      <c r="E16" s="220">
        <v>142</v>
      </c>
      <c r="F16" s="220">
        <v>202</v>
      </c>
      <c r="G16" s="220">
        <v>59</v>
      </c>
      <c r="H16" s="221">
        <v>0</v>
      </c>
      <c r="I16" s="182">
        <v>0</v>
      </c>
      <c r="J16" s="182">
        <v>0</v>
      </c>
      <c r="K16" s="222">
        <v>1</v>
      </c>
      <c r="L16" s="222">
        <v>0</v>
      </c>
      <c r="M16" s="222">
        <v>0</v>
      </c>
      <c r="N16" s="222">
        <v>1</v>
      </c>
      <c r="O16" s="190">
        <v>3</v>
      </c>
      <c r="P16" s="211">
        <v>1</v>
      </c>
      <c r="Q16" s="216">
        <v>0</v>
      </c>
      <c r="R16" s="214">
        <v>0</v>
      </c>
      <c r="S16" s="218">
        <v>0</v>
      </c>
      <c r="T16" s="218">
        <v>0</v>
      </c>
      <c r="U16" s="218">
        <v>0</v>
      </c>
    </row>
    <row r="17" spans="1:21" ht="12.9" x14ac:dyDescent="0.35">
      <c r="A17" s="217" t="s">
        <v>159</v>
      </c>
      <c r="B17" s="181">
        <v>72</v>
      </c>
      <c r="C17" s="173" t="s">
        <v>34</v>
      </c>
      <c r="D17" s="220">
        <v>0</v>
      </c>
      <c r="E17" s="220">
        <v>9</v>
      </c>
      <c r="F17" s="220">
        <v>9</v>
      </c>
      <c r="G17" s="220">
        <v>1</v>
      </c>
      <c r="H17" s="221">
        <v>102.85714285714286</v>
      </c>
      <c r="I17" s="182">
        <v>0</v>
      </c>
      <c r="J17" s="182">
        <v>0</v>
      </c>
      <c r="K17" s="222">
        <v>0</v>
      </c>
      <c r="L17" s="222">
        <v>0</v>
      </c>
      <c r="M17" s="222">
        <v>0</v>
      </c>
      <c r="N17" s="222">
        <v>10</v>
      </c>
      <c r="O17" s="225">
        <v>38</v>
      </c>
      <c r="P17" s="191">
        <v>46</v>
      </c>
      <c r="Q17" s="211">
        <f>9+5+8</f>
        <v>22</v>
      </c>
      <c r="R17" s="214">
        <v>0</v>
      </c>
      <c r="S17" s="218">
        <v>0</v>
      </c>
      <c r="T17" s="218">
        <v>0</v>
      </c>
      <c r="U17" s="218">
        <v>0</v>
      </c>
    </row>
    <row r="18" spans="1:21" ht="12.9" x14ac:dyDescent="0.35">
      <c r="A18" s="217" t="s">
        <v>159</v>
      </c>
      <c r="B18" s="181">
        <v>73</v>
      </c>
      <c r="C18" s="173" t="s">
        <v>50</v>
      </c>
      <c r="D18" s="220">
        <v>3</v>
      </c>
      <c r="E18" s="220">
        <v>43</v>
      </c>
      <c r="F18" s="220">
        <v>13</v>
      </c>
      <c r="G18" s="220">
        <v>3</v>
      </c>
      <c r="H18" s="221">
        <v>97.142857142857153</v>
      </c>
      <c r="I18" s="182">
        <v>0</v>
      </c>
      <c r="J18" s="182">
        <v>0</v>
      </c>
      <c r="K18" s="222" t="s">
        <v>65</v>
      </c>
      <c r="L18" s="222">
        <v>4</v>
      </c>
      <c r="M18" s="222">
        <v>0</v>
      </c>
      <c r="N18" s="222">
        <v>1</v>
      </c>
      <c r="O18" s="190">
        <v>2</v>
      </c>
      <c r="P18" s="191">
        <v>31</v>
      </c>
      <c r="Q18" s="211">
        <f>1+7+13</f>
        <v>21</v>
      </c>
      <c r="R18" s="214">
        <v>0</v>
      </c>
      <c r="S18" s="218">
        <v>0</v>
      </c>
      <c r="T18" s="218">
        <v>0</v>
      </c>
      <c r="U18" s="218">
        <v>0</v>
      </c>
    </row>
    <row r="19" spans="1:21" ht="12.9" x14ac:dyDescent="0.35">
      <c r="A19" s="217" t="s">
        <v>159</v>
      </c>
      <c r="B19" s="181">
        <v>74</v>
      </c>
      <c r="C19" s="173" t="s">
        <v>37</v>
      </c>
      <c r="D19" s="220">
        <v>0</v>
      </c>
      <c r="E19" s="220">
        <v>1</v>
      </c>
      <c r="F19" s="220">
        <v>0</v>
      </c>
      <c r="G19" s="220">
        <v>0</v>
      </c>
      <c r="H19" s="221">
        <v>0</v>
      </c>
      <c r="I19" s="182">
        <v>2.8571428571428572</v>
      </c>
      <c r="J19" s="182">
        <v>0</v>
      </c>
      <c r="K19" s="222">
        <v>0</v>
      </c>
      <c r="L19" s="222">
        <v>0</v>
      </c>
      <c r="M19" s="222">
        <v>1</v>
      </c>
      <c r="N19" s="222">
        <v>2</v>
      </c>
      <c r="O19" s="224">
        <v>27</v>
      </c>
      <c r="P19" s="211">
        <v>15</v>
      </c>
      <c r="Q19" s="211">
        <f>2+1+1</f>
        <v>4</v>
      </c>
      <c r="R19" s="214">
        <v>0</v>
      </c>
      <c r="S19" s="218">
        <v>0</v>
      </c>
      <c r="T19" s="218">
        <v>0</v>
      </c>
      <c r="U19" s="218">
        <v>0</v>
      </c>
    </row>
    <row r="20" spans="1:21" ht="12.9" x14ac:dyDescent="0.35">
      <c r="A20" s="217" t="s">
        <v>159</v>
      </c>
      <c r="B20" s="181">
        <v>75</v>
      </c>
      <c r="C20" s="173" t="s">
        <v>38</v>
      </c>
      <c r="D20" s="220">
        <v>0</v>
      </c>
      <c r="E20" s="220">
        <v>0</v>
      </c>
      <c r="F20" s="220">
        <v>0</v>
      </c>
      <c r="G20" s="220">
        <v>1</v>
      </c>
      <c r="H20" s="221">
        <v>0</v>
      </c>
      <c r="I20" s="182">
        <v>0</v>
      </c>
      <c r="J20" s="182">
        <v>0</v>
      </c>
      <c r="K20" s="222">
        <v>0</v>
      </c>
      <c r="L20" s="222">
        <v>0</v>
      </c>
      <c r="M20" s="222">
        <v>0</v>
      </c>
      <c r="N20" s="222">
        <v>0</v>
      </c>
      <c r="O20" s="224">
        <v>7</v>
      </c>
      <c r="P20" s="211">
        <v>19</v>
      </c>
      <c r="Q20" s="211">
        <f>1+11+4</f>
        <v>16</v>
      </c>
      <c r="R20" s="214">
        <v>0</v>
      </c>
      <c r="S20" s="218">
        <v>0</v>
      </c>
      <c r="T20" s="218">
        <v>0</v>
      </c>
      <c r="U20" s="218">
        <v>0</v>
      </c>
    </row>
    <row r="21" spans="1:21" ht="12.9" x14ac:dyDescent="0.35">
      <c r="A21" s="217" t="s">
        <v>159</v>
      </c>
      <c r="B21" s="181">
        <v>76</v>
      </c>
      <c r="C21" s="173" t="s">
        <v>39</v>
      </c>
      <c r="D21" s="220">
        <v>0</v>
      </c>
      <c r="E21" s="220">
        <v>0</v>
      </c>
      <c r="F21" s="220">
        <v>0</v>
      </c>
      <c r="G21" s="220">
        <v>0</v>
      </c>
      <c r="H21" s="221">
        <v>2.8571428571428572</v>
      </c>
      <c r="I21" s="182">
        <v>0</v>
      </c>
      <c r="J21" s="182">
        <v>0</v>
      </c>
      <c r="K21" s="222">
        <v>0</v>
      </c>
      <c r="L21" s="222">
        <v>0</v>
      </c>
      <c r="M21" s="222">
        <v>1</v>
      </c>
      <c r="N21" s="222">
        <v>5</v>
      </c>
      <c r="O21" s="224">
        <v>65</v>
      </c>
      <c r="P21" s="211">
        <v>68</v>
      </c>
      <c r="Q21" s="211">
        <v>1</v>
      </c>
      <c r="R21" s="214">
        <v>0</v>
      </c>
      <c r="S21" s="218">
        <v>0</v>
      </c>
      <c r="T21" s="218">
        <v>0</v>
      </c>
      <c r="U21" s="218">
        <v>0</v>
      </c>
    </row>
    <row r="22" spans="1:21" ht="12.9" x14ac:dyDescent="0.35">
      <c r="A22" s="217" t="s">
        <v>159</v>
      </c>
      <c r="B22" s="181">
        <v>78</v>
      </c>
      <c r="C22" s="173" t="s">
        <v>40</v>
      </c>
      <c r="D22" s="220">
        <v>0</v>
      </c>
      <c r="E22" s="220">
        <v>0</v>
      </c>
      <c r="F22" s="220">
        <v>0</v>
      </c>
      <c r="G22" s="220">
        <v>1</v>
      </c>
      <c r="H22" s="221">
        <v>0</v>
      </c>
      <c r="I22" s="182">
        <v>0</v>
      </c>
      <c r="J22" s="182">
        <v>0</v>
      </c>
      <c r="K22" s="222">
        <v>0</v>
      </c>
      <c r="L22" s="222">
        <v>1</v>
      </c>
      <c r="M22" s="222">
        <v>0</v>
      </c>
      <c r="N22" s="222">
        <v>7</v>
      </c>
      <c r="O22" s="224">
        <v>14</v>
      </c>
      <c r="P22" s="211">
        <v>19</v>
      </c>
      <c r="Q22" s="211">
        <f>2+0+2</f>
        <v>4</v>
      </c>
      <c r="R22" s="214">
        <v>0</v>
      </c>
      <c r="S22" s="211">
        <v>1</v>
      </c>
      <c r="T22" s="218">
        <v>0</v>
      </c>
      <c r="U22" s="218">
        <v>0</v>
      </c>
    </row>
    <row r="23" spans="1:21" ht="12.9" x14ac:dyDescent="0.35">
      <c r="A23" s="217" t="s">
        <v>159</v>
      </c>
      <c r="B23" s="181">
        <v>83</v>
      </c>
      <c r="C23" s="173" t="s">
        <v>26</v>
      </c>
      <c r="D23" s="220">
        <v>0</v>
      </c>
      <c r="E23" s="220">
        <v>8</v>
      </c>
      <c r="F23" s="220">
        <v>63</v>
      </c>
      <c r="G23" s="220">
        <v>40</v>
      </c>
      <c r="H23" s="221">
        <v>71.428571428571431</v>
      </c>
      <c r="I23" s="182">
        <v>0</v>
      </c>
      <c r="J23" s="182">
        <v>0</v>
      </c>
      <c r="K23" s="222">
        <v>0</v>
      </c>
      <c r="L23" s="222">
        <v>0</v>
      </c>
      <c r="M23" s="222">
        <v>0</v>
      </c>
      <c r="N23" s="222">
        <v>1</v>
      </c>
      <c r="O23" s="224">
        <v>32</v>
      </c>
      <c r="P23" s="211">
        <v>17</v>
      </c>
      <c r="Q23" s="211">
        <f>3+2+7</f>
        <v>12</v>
      </c>
      <c r="R23" s="214">
        <v>0</v>
      </c>
      <c r="S23" s="218">
        <v>0</v>
      </c>
      <c r="T23" s="218">
        <v>0</v>
      </c>
      <c r="U23" s="218">
        <v>0</v>
      </c>
    </row>
    <row r="24" spans="1:21" ht="12.9" x14ac:dyDescent="0.35">
      <c r="A24" s="217" t="s">
        <v>159</v>
      </c>
      <c r="B24" s="181">
        <v>84</v>
      </c>
      <c r="C24" s="173" t="s">
        <v>41</v>
      </c>
      <c r="D24" s="220">
        <v>0</v>
      </c>
      <c r="E24" s="220">
        <v>0</v>
      </c>
      <c r="F24" s="220">
        <v>0</v>
      </c>
      <c r="G24" s="220">
        <v>0</v>
      </c>
      <c r="H24" s="221">
        <v>14.285714285714286</v>
      </c>
      <c r="I24" s="182">
        <v>0</v>
      </c>
      <c r="J24" s="182">
        <v>0</v>
      </c>
      <c r="K24" s="222" t="s">
        <v>65</v>
      </c>
      <c r="L24" s="222">
        <v>0</v>
      </c>
      <c r="M24" s="222">
        <v>0</v>
      </c>
      <c r="N24" s="222">
        <v>1</v>
      </c>
      <c r="O24" s="224">
        <v>105</v>
      </c>
      <c r="P24" s="211">
        <v>53</v>
      </c>
      <c r="Q24" s="211">
        <f>1+0+11</f>
        <v>12</v>
      </c>
      <c r="R24" s="214">
        <v>0</v>
      </c>
      <c r="S24" s="218">
        <v>0</v>
      </c>
      <c r="T24" s="218">
        <v>0</v>
      </c>
      <c r="U24" s="218">
        <v>0</v>
      </c>
    </row>
    <row r="25" spans="1:21" ht="12.9" x14ac:dyDescent="0.35">
      <c r="A25" s="217" t="s">
        <v>159</v>
      </c>
      <c r="B25" s="181">
        <v>85</v>
      </c>
      <c r="C25" s="173" t="s">
        <v>48</v>
      </c>
      <c r="D25" s="220">
        <v>2</v>
      </c>
      <c r="E25" s="220">
        <v>5</v>
      </c>
      <c r="F25" s="220">
        <v>0</v>
      </c>
      <c r="G25" s="220">
        <v>0</v>
      </c>
      <c r="H25" s="221">
        <v>2.8571428571428572</v>
      </c>
      <c r="I25" s="182">
        <v>0</v>
      </c>
      <c r="J25" s="182">
        <v>0</v>
      </c>
      <c r="K25" s="222">
        <v>0</v>
      </c>
      <c r="L25" s="222">
        <v>0</v>
      </c>
      <c r="M25" s="222">
        <v>6</v>
      </c>
      <c r="N25" s="222">
        <v>5</v>
      </c>
      <c r="O25" s="224">
        <v>72</v>
      </c>
      <c r="P25" s="211">
        <v>11</v>
      </c>
      <c r="Q25" s="211">
        <f>0+0+1</f>
        <v>1</v>
      </c>
      <c r="R25" s="214">
        <v>0</v>
      </c>
      <c r="S25" s="218">
        <v>0</v>
      </c>
      <c r="T25" s="218">
        <v>0</v>
      </c>
      <c r="U25" s="218">
        <v>0</v>
      </c>
    </row>
    <row r="26" spans="1:21" ht="12.9" x14ac:dyDescent="0.35">
      <c r="A26" s="217" t="s">
        <v>159</v>
      </c>
      <c r="B26" s="181">
        <v>86</v>
      </c>
      <c r="C26" s="173" t="s">
        <v>35</v>
      </c>
      <c r="D26" s="220">
        <v>0</v>
      </c>
      <c r="E26" s="220">
        <v>1</v>
      </c>
      <c r="F26" s="220">
        <v>1</v>
      </c>
      <c r="G26" s="220">
        <v>0</v>
      </c>
      <c r="H26" s="221">
        <v>0</v>
      </c>
      <c r="I26" s="182">
        <v>0</v>
      </c>
      <c r="J26" s="182">
        <v>0</v>
      </c>
      <c r="K26" s="222">
        <v>0</v>
      </c>
      <c r="L26" s="222">
        <v>0</v>
      </c>
      <c r="M26" s="222">
        <v>1</v>
      </c>
      <c r="N26" s="222">
        <v>11</v>
      </c>
      <c r="O26" s="224">
        <v>107</v>
      </c>
      <c r="P26" s="211">
        <v>79</v>
      </c>
      <c r="Q26" s="211">
        <f>9+12+5</f>
        <v>26</v>
      </c>
      <c r="R26" s="218">
        <v>1</v>
      </c>
      <c r="S26" s="218">
        <v>0</v>
      </c>
      <c r="T26" s="218">
        <v>0</v>
      </c>
      <c r="U26" s="218">
        <v>0</v>
      </c>
    </row>
    <row r="27" spans="1:21" ht="12.9" x14ac:dyDescent="0.35">
      <c r="A27" s="217" t="s">
        <v>159</v>
      </c>
      <c r="B27" s="181">
        <v>87</v>
      </c>
      <c r="C27" s="173" t="s">
        <v>36</v>
      </c>
      <c r="D27" s="220">
        <v>1</v>
      </c>
      <c r="E27" s="220">
        <v>7</v>
      </c>
      <c r="F27" s="220">
        <v>2</v>
      </c>
      <c r="G27" s="220">
        <v>19</v>
      </c>
      <c r="H27" s="221">
        <v>65.714285714285722</v>
      </c>
      <c r="I27" s="182">
        <v>0</v>
      </c>
      <c r="J27" s="182">
        <v>0</v>
      </c>
      <c r="K27" s="222">
        <v>0</v>
      </c>
      <c r="L27" s="222">
        <v>0</v>
      </c>
      <c r="M27" s="222">
        <v>1</v>
      </c>
      <c r="N27" s="222">
        <v>1</v>
      </c>
      <c r="O27" s="190">
        <v>3</v>
      </c>
      <c r="P27" s="191">
        <v>72</v>
      </c>
      <c r="Q27" s="211">
        <f>9+7+6</f>
        <v>22</v>
      </c>
      <c r="R27" s="218">
        <v>1</v>
      </c>
      <c r="S27" s="218">
        <v>1</v>
      </c>
      <c r="T27" s="218">
        <v>0</v>
      </c>
      <c r="U27" s="218">
        <v>0</v>
      </c>
    </row>
    <row r="28" spans="1:21" s="57" customFormat="1" x14ac:dyDescent="0.3">
      <c r="A28" s="226"/>
      <c r="B28" s="226"/>
      <c r="C28" s="226"/>
      <c r="D28" s="226">
        <v>0.5</v>
      </c>
      <c r="E28" s="226">
        <v>18</v>
      </c>
      <c r="F28" s="226">
        <v>24</v>
      </c>
      <c r="G28" s="226">
        <v>10</v>
      </c>
      <c r="H28" s="226">
        <v>29.7</v>
      </c>
      <c r="I28" s="226">
        <v>0.23</v>
      </c>
      <c r="J28" s="226">
        <v>0</v>
      </c>
      <c r="K28" s="226">
        <v>0.1</v>
      </c>
      <c r="L28" s="226">
        <v>0.42</v>
      </c>
      <c r="M28" s="226">
        <v>0.83</v>
      </c>
      <c r="N28" s="226">
        <f>AVERAGE(N16:N27)</f>
        <v>3.75</v>
      </c>
      <c r="O28" s="226">
        <v>39.5</v>
      </c>
      <c r="P28" s="226">
        <f>AVERAGE(P16:P27)</f>
        <v>35.916666666666664</v>
      </c>
      <c r="Q28" s="226">
        <f>AVERAGE(Q16:Q27)</f>
        <v>11.75</v>
      </c>
      <c r="R28" s="227">
        <f>AVERAGE(R16:R27)</f>
        <v>0.16666666666666666</v>
      </c>
      <c r="S28" s="227">
        <f>AVERAGE(S16:S27)</f>
        <v>0.16666666666666666</v>
      </c>
      <c r="T28" s="227">
        <v>0</v>
      </c>
      <c r="U28" s="227">
        <v>0</v>
      </c>
    </row>
  </sheetData>
  <pageMargins left="0.7" right="0.7" top="0.75" bottom="0.75" header="0.3" footer="0.3"/>
  <ignoredErrors>
    <ignoredError sqref="D15:M15 O15" formulaRange="1"/>
  </ignoredErrors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59999389629810485"/>
  </sheetPr>
  <dimension ref="A1:T26"/>
  <sheetViews>
    <sheetView zoomScale="60" zoomScaleNormal="60" workbookViewId="0">
      <selection activeCell="R23" sqref="R23"/>
    </sheetView>
  </sheetViews>
  <sheetFormatPr defaultColWidth="8.765625" defaultRowHeight="12.45" x14ac:dyDescent="0.3"/>
  <cols>
    <col min="1" max="1" width="27.3046875" customWidth="1"/>
    <col min="2" max="5" width="5.07421875" customWidth="1"/>
    <col min="6" max="6" width="7.69140625" customWidth="1"/>
    <col min="7" max="9" width="5.07421875" customWidth="1"/>
  </cols>
  <sheetData>
    <row r="1" spans="1:19" x14ac:dyDescent="0.3"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</row>
    <row r="2" spans="1:19" x14ac:dyDescent="0.3">
      <c r="A2" s="55" t="s">
        <v>74</v>
      </c>
      <c r="B2" s="57">
        <f>'2000'!D30</f>
        <v>0.64</v>
      </c>
      <c r="C2" s="57">
        <f>'2001'!D30</f>
        <v>23.2</v>
      </c>
      <c r="D2" s="57">
        <f>'2002'!D30</f>
        <v>80.8</v>
      </c>
      <c r="E2" s="57">
        <f>'2003'!D30</f>
        <v>35.72</v>
      </c>
      <c r="F2" s="118">
        <f>'2004_Forrest'!D31/0.35</f>
        <v>16.342857142857142</v>
      </c>
      <c r="G2" s="118">
        <f>'2005_Forrest'!D30/0.35</f>
        <v>0.1142857142857143</v>
      </c>
      <c r="H2" s="118">
        <f>'2006_Forrest'!D30/0.35</f>
        <v>0.45714285714285718</v>
      </c>
      <c r="I2" s="57">
        <f>'2007'!D30</f>
        <v>0.08</v>
      </c>
      <c r="J2">
        <v>0.3</v>
      </c>
      <c r="K2">
        <v>1</v>
      </c>
      <c r="L2">
        <v>2.4</v>
      </c>
      <c r="M2">
        <v>21.9</v>
      </c>
      <c r="N2" s="4">
        <v>18.899999999999999</v>
      </c>
      <c r="O2" s="4">
        <v>6</v>
      </c>
      <c r="P2" s="4">
        <v>0.1</v>
      </c>
      <c r="Q2" s="4">
        <v>2</v>
      </c>
      <c r="R2" s="4">
        <v>1</v>
      </c>
      <c r="S2" s="4">
        <v>0</v>
      </c>
    </row>
    <row r="3" spans="1:19" x14ac:dyDescent="0.3">
      <c r="A3" s="55" t="s">
        <v>75</v>
      </c>
      <c r="B3" s="57">
        <f>'2000'!E30</f>
        <v>0.32</v>
      </c>
      <c r="C3" s="57">
        <f>'2001'!D31</f>
        <v>32</v>
      </c>
      <c r="D3" s="57">
        <f>'2002'!E30</f>
        <v>7.24</v>
      </c>
      <c r="E3" s="57">
        <f>'2003'!E30</f>
        <v>20.079999999999998</v>
      </c>
      <c r="F3" s="118">
        <f>'2004_Forrest'!E31/0.35</f>
        <v>0</v>
      </c>
      <c r="G3" s="118">
        <f>'2005_Forrest'!E30/0.35</f>
        <v>9.9428571428571431</v>
      </c>
      <c r="H3" s="118">
        <f>'2006_Forrest'!E30/0.35</f>
        <v>4.5714285714285721</v>
      </c>
      <c r="I3" s="57">
        <f>'2007'!E30</f>
        <v>0.64</v>
      </c>
      <c r="J3">
        <v>0.2</v>
      </c>
      <c r="K3">
        <v>0.1</v>
      </c>
      <c r="L3">
        <v>0</v>
      </c>
      <c r="M3">
        <v>0.2</v>
      </c>
      <c r="N3">
        <v>0.04</v>
      </c>
      <c r="O3">
        <v>2.5</v>
      </c>
      <c r="P3">
        <v>4.5999999999999996</v>
      </c>
      <c r="Q3">
        <v>12</v>
      </c>
      <c r="R3">
        <v>0</v>
      </c>
      <c r="S3">
        <v>0</v>
      </c>
    </row>
    <row r="4" spans="1:19" x14ac:dyDescent="0.3">
      <c r="A4" s="55" t="s">
        <v>1</v>
      </c>
      <c r="B4" s="57">
        <f>'2000'!F30</f>
        <v>9</v>
      </c>
      <c r="C4" s="57">
        <f>'2001'!F30</f>
        <v>61.08</v>
      </c>
      <c r="D4" s="57">
        <f>'2002'!F30</f>
        <v>8.44</v>
      </c>
      <c r="E4" s="57">
        <f>'2003'!F30</f>
        <v>19.559999999999999</v>
      </c>
      <c r="F4" s="118">
        <f>'2004_Forrest'!F31/0.35</f>
        <v>17.371428571428574</v>
      </c>
      <c r="G4" s="118">
        <f>'2005_Forrest'!F30/0.35</f>
        <v>4.3428571428571434</v>
      </c>
      <c r="H4" s="118">
        <f>'2006_Forrest'!F30/0.35</f>
        <v>1.6000000000000003</v>
      </c>
      <c r="I4" s="57">
        <v>2.6</v>
      </c>
      <c r="J4">
        <v>20</v>
      </c>
      <c r="K4">
        <v>20.399999999999999</v>
      </c>
      <c r="L4">
        <v>36</v>
      </c>
      <c r="M4">
        <v>27.5</v>
      </c>
      <c r="N4">
        <v>14.2</v>
      </c>
      <c r="O4">
        <v>17.8</v>
      </c>
      <c r="P4">
        <v>1.2</v>
      </c>
      <c r="Q4">
        <v>1</v>
      </c>
      <c r="R4">
        <v>0</v>
      </c>
      <c r="S4">
        <v>10</v>
      </c>
    </row>
    <row r="5" spans="1:19" x14ac:dyDescent="0.3">
      <c r="B5" s="56" t="s">
        <v>20</v>
      </c>
      <c r="C5" s="57"/>
      <c r="D5" s="57"/>
      <c r="E5" s="57"/>
      <c r="F5" s="57"/>
      <c r="G5" s="57"/>
      <c r="H5" s="57"/>
      <c r="I5" s="57"/>
    </row>
    <row r="6" spans="1:19" x14ac:dyDescent="0.3">
      <c r="B6" s="57"/>
      <c r="C6" s="57"/>
      <c r="D6" s="57"/>
      <c r="E6" s="57"/>
      <c r="F6" s="57"/>
      <c r="G6" s="57"/>
      <c r="H6" s="57"/>
      <c r="I6" s="57"/>
    </row>
    <row r="7" spans="1:19" x14ac:dyDescent="0.3">
      <c r="B7" s="119"/>
      <c r="C7" s="120" t="s">
        <v>85</v>
      </c>
      <c r="H7" s="57"/>
      <c r="I7" s="57"/>
    </row>
    <row r="8" spans="1:19" x14ac:dyDescent="0.3">
      <c r="B8" s="57"/>
      <c r="C8" s="57"/>
      <c r="D8" s="57"/>
      <c r="E8" s="57"/>
      <c r="F8" s="57"/>
      <c r="G8" s="57"/>
      <c r="H8" s="57"/>
      <c r="I8" s="57"/>
      <c r="N8" s="55" t="s">
        <v>20</v>
      </c>
    </row>
    <row r="9" spans="1:19" x14ac:dyDescent="0.3">
      <c r="B9" s="57"/>
      <c r="C9" s="57"/>
      <c r="D9" s="57"/>
      <c r="E9" s="57"/>
      <c r="F9" s="57"/>
      <c r="G9" s="57"/>
      <c r="H9" s="57"/>
      <c r="I9" s="57"/>
    </row>
    <row r="10" spans="1:19" x14ac:dyDescent="0.3">
      <c r="B10" s="57"/>
      <c r="C10" s="57"/>
      <c r="D10" s="57"/>
      <c r="E10" s="57"/>
      <c r="F10" s="57"/>
      <c r="G10" s="57"/>
      <c r="H10" s="57"/>
      <c r="I10" s="57"/>
    </row>
    <row r="11" spans="1:19" x14ac:dyDescent="0.3">
      <c r="B11" s="57"/>
      <c r="C11" s="57"/>
      <c r="D11" s="57"/>
      <c r="E11" s="57"/>
      <c r="F11" s="57"/>
      <c r="G11" s="57"/>
      <c r="H11" s="57"/>
      <c r="I11" s="57"/>
    </row>
    <row r="12" spans="1:19" x14ac:dyDescent="0.3">
      <c r="B12" s="57"/>
      <c r="C12" s="57"/>
      <c r="D12" s="57"/>
      <c r="E12" s="57"/>
      <c r="F12" s="57"/>
      <c r="G12" s="57"/>
      <c r="H12" s="57"/>
      <c r="I12" s="57"/>
    </row>
    <row r="13" spans="1:19" x14ac:dyDescent="0.3">
      <c r="B13" s="57"/>
      <c r="C13" s="57"/>
      <c r="D13" s="57"/>
      <c r="E13" s="57"/>
      <c r="F13" s="57"/>
      <c r="G13" s="57"/>
      <c r="H13" s="57"/>
      <c r="I13" s="57"/>
    </row>
    <row r="14" spans="1:19" x14ac:dyDescent="0.3">
      <c r="B14" s="57"/>
      <c r="C14" s="57"/>
      <c r="D14" s="57"/>
      <c r="E14" s="57"/>
      <c r="F14" s="57"/>
      <c r="G14" s="57"/>
      <c r="H14" s="57"/>
      <c r="I14" s="57"/>
    </row>
    <row r="15" spans="1:19" x14ac:dyDescent="0.3">
      <c r="B15" s="57"/>
      <c r="C15" s="57"/>
      <c r="D15" s="57"/>
      <c r="E15" s="57"/>
      <c r="F15" s="57"/>
      <c r="G15" s="57"/>
      <c r="H15" s="57"/>
      <c r="I15" s="57"/>
    </row>
    <row r="16" spans="1:19" x14ac:dyDescent="0.3">
      <c r="B16" s="57"/>
      <c r="C16" s="57"/>
      <c r="D16" s="57"/>
      <c r="E16" s="57"/>
      <c r="F16" s="57"/>
      <c r="G16" s="57"/>
      <c r="H16" s="57"/>
      <c r="I16" s="57"/>
    </row>
    <row r="17" spans="2:20" x14ac:dyDescent="0.3">
      <c r="B17" s="57"/>
      <c r="C17" s="57"/>
      <c r="D17" s="57"/>
      <c r="E17" s="57"/>
      <c r="F17" s="57"/>
      <c r="G17" s="57"/>
      <c r="H17" s="57"/>
      <c r="I17" s="57"/>
    </row>
    <row r="18" spans="2:20" x14ac:dyDescent="0.3">
      <c r="B18" s="57"/>
      <c r="C18" s="57"/>
      <c r="D18" s="57"/>
      <c r="E18" s="57"/>
      <c r="F18" s="57"/>
      <c r="G18" s="57"/>
      <c r="H18" s="57"/>
      <c r="I18" s="57"/>
    </row>
    <row r="19" spans="2:20" x14ac:dyDescent="0.3">
      <c r="B19" s="57"/>
      <c r="C19" s="57"/>
      <c r="D19" s="57"/>
      <c r="E19" s="57"/>
      <c r="F19" s="57"/>
      <c r="G19" s="57"/>
      <c r="H19" s="57"/>
      <c r="I19" s="57"/>
    </row>
    <row r="20" spans="2:20" x14ac:dyDescent="0.3">
      <c r="B20" s="57"/>
      <c r="C20" s="57"/>
      <c r="D20" s="57"/>
      <c r="E20" s="57"/>
      <c r="F20" s="57"/>
      <c r="G20" s="57"/>
      <c r="H20" s="57"/>
      <c r="I20" s="57"/>
    </row>
    <row r="21" spans="2:20" x14ac:dyDescent="0.3">
      <c r="B21" s="57"/>
      <c r="C21" s="57"/>
      <c r="D21" s="57"/>
      <c r="E21" s="57"/>
      <c r="F21" s="57"/>
      <c r="G21" s="57"/>
      <c r="H21" s="57"/>
      <c r="I21" s="57"/>
    </row>
    <row r="22" spans="2:20" x14ac:dyDescent="0.3">
      <c r="B22" s="57"/>
      <c r="C22" s="57"/>
      <c r="D22" s="57"/>
      <c r="E22" s="57"/>
      <c r="F22" s="57"/>
      <c r="G22" s="57"/>
      <c r="H22" s="57"/>
      <c r="I22" s="57"/>
    </row>
    <row r="23" spans="2:20" x14ac:dyDescent="0.3">
      <c r="B23" s="57"/>
      <c r="C23" s="57"/>
      <c r="D23" s="57"/>
      <c r="E23" s="57"/>
      <c r="F23" s="57"/>
      <c r="G23" s="57"/>
      <c r="H23" s="57"/>
      <c r="I23" s="57"/>
    </row>
    <row r="24" spans="2:20" x14ac:dyDescent="0.3">
      <c r="B24" s="57"/>
      <c r="C24" s="57"/>
      <c r="D24" s="57"/>
      <c r="E24" s="57"/>
      <c r="F24" s="57"/>
      <c r="G24" s="57"/>
      <c r="H24" s="57"/>
      <c r="I24" s="57"/>
    </row>
    <row r="25" spans="2:20" x14ac:dyDescent="0.3">
      <c r="B25" s="57"/>
      <c r="C25" s="57"/>
      <c r="D25" s="57"/>
      <c r="E25" s="57"/>
      <c r="F25" s="57"/>
      <c r="G25" s="57"/>
      <c r="H25" s="57"/>
      <c r="I25" s="57"/>
    </row>
    <row r="26" spans="2:20" x14ac:dyDescent="0.3">
      <c r="B26" s="57"/>
      <c r="C26" s="57"/>
      <c r="D26" s="57"/>
      <c r="E26" s="57"/>
      <c r="F26" s="57"/>
      <c r="G26" s="57"/>
      <c r="H26" s="57"/>
      <c r="I26" s="57"/>
      <c r="T26" s="55" t="s">
        <v>20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59999389629810485"/>
  </sheetPr>
  <dimension ref="A1:AJ29"/>
  <sheetViews>
    <sheetView topLeftCell="C1" zoomScaleNormal="100" workbookViewId="0">
      <pane ySplit="1" topLeftCell="A2" activePane="bottomLeft" state="frozen"/>
      <selection activeCell="E1" sqref="E1"/>
      <selection pane="bottomLeft" activeCell="AF27" sqref="AF27:AH27"/>
    </sheetView>
  </sheetViews>
  <sheetFormatPr defaultColWidth="8.765625" defaultRowHeight="11.6" x14ac:dyDescent="0.3"/>
  <cols>
    <col min="1" max="1" width="8.765625" style="78"/>
    <col min="2" max="3" width="7.4609375" style="78" customWidth="1"/>
    <col min="4" max="4" width="8.765625" style="180"/>
    <col min="5" max="5" width="14.3046875" style="78" customWidth="1"/>
    <col min="6" max="6" width="5.3046875" style="78" customWidth="1"/>
    <col min="7" max="7" width="5.3046875" style="180" customWidth="1"/>
    <col min="8" max="35" width="5.3046875" style="78" customWidth="1"/>
    <col min="36" max="36" width="5.07421875" style="78" customWidth="1"/>
    <col min="37" max="16384" width="8.765625" style="78"/>
  </cols>
  <sheetData>
    <row r="1" spans="1:36" ht="114" customHeight="1" x14ac:dyDescent="0.35">
      <c r="A1" s="173" t="s">
        <v>115</v>
      </c>
      <c r="B1" s="173" t="s">
        <v>98</v>
      </c>
      <c r="C1" s="182" t="s">
        <v>117</v>
      </c>
      <c r="D1" s="181" t="s">
        <v>0</v>
      </c>
      <c r="E1" s="182" t="s">
        <v>25</v>
      </c>
      <c r="F1" s="250" t="s">
        <v>5</v>
      </c>
      <c r="G1" s="250" t="s">
        <v>6</v>
      </c>
      <c r="H1" s="250" t="s">
        <v>1</v>
      </c>
      <c r="I1" s="250" t="s">
        <v>7</v>
      </c>
      <c r="J1" s="250" t="s">
        <v>4</v>
      </c>
      <c r="K1" s="250" t="s">
        <v>3</v>
      </c>
      <c r="L1" s="250" t="s">
        <v>2</v>
      </c>
      <c r="M1" s="250" t="s">
        <v>165</v>
      </c>
      <c r="N1" s="250" t="s">
        <v>118</v>
      </c>
      <c r="O1" s="250" t="s">
        <v>86</v>
      </c>
      <c r="P1" s="250" t="s">
        <v>88</v>
      </c>
      <c r="Q1" s="250" t="s">
        <v>96</v>
      </c>
      <c r="R1" s="250" t="s">
        <v>22</v>
      </c>
      <c r="S1" s="250" t="s">
        <v>94</v>
      </c>
      <c r="T1" s="250" t="s">
        <v>57</v>
      </c>
      <c r="U1" s="250" t="s">
        <v>54</v>
      </c>
      <c r="V1" s="250" t="s">
        <v>119</v>
      </c>
      <c r="W1" s="250" t="s">
        <v>56</v>
      </c>
      <c r="X1" s="250" t="s">
        <v>53</v>
      </c>
      <c r="Y1" s="250" t="s">
        <v>156</v>
      </c>
      <c r="Z1" s="250" t="s">
        <v>17</v>
      </c>
      <c r="AA1" s="250" t="s">
        <v>120</v>
      </c>
      <c r="AB1" s="250" t="s">
        <v>8</v>
      </c>
      <c r="AC1" s="250" t="s">
        <v>157</v>
      </c>
      <c r="AD1" s="250" t="s">
        <v>23</v>
      </c>
      <c r="AE1" s="250" t="s">
        <v>49</v>
      </c>
      <c r="AF1" s="250" t="s">
        <v>121</v>
      </c>
      <c r="AG1" s="250" t="s">
        <v>167</v>
      </c>
      <c r="AH1" s="250" t="s">
        <v>168</v>
      </c>
      <c r="AI1" s="250" t="s">
        <v>151</v>
      </c>
      <c r="AJ1" s="250" t="s">
        <v>13</v>
      </c>
    </row>
    <row r="2" spans="1:36" ht="25.75" x14ac:dyDescent="0.35">
      <c r="A2" s="173">
        <v>2012</v>
      </c>
      <c r="B2" s="173" t="s">
        <v>99</v>
      </c>
      <c r="C2" s="182" t="s">
        <v>125</v>
      </c>
      <c r="D2" s="181">
        <v>30</v>
      </c>
      <c r="E2" s="251" t="s">
        <v>89</v>
      </c>
      <c r="F2" s="252">
        <v>6</v>
      </c>
      <c r="G2" s="253"/>
      <c r="H2" s="252">
        <v>60</v>
      </c>
      <c r="I2" s="253">
        <v>2</v>
      </c>
      <c r="J2" s="253"/>
      <c r="K2" s="253"/>
      <c r="L2" s="253">
        <v>4</v>
      </c>
      <c r="M2" s="252">
        <v>3</v>
      </c>
      <c r="N2" s="252"/>
      <c r="O2" s="253"/>
      <c r="P2" s="252"/>
      <c r="Q2" s="252"/>
      <c r="R2" s="253"/>
      <c r="S2" s="252"/>
      <c r="T2" s="252"/>
      <c r="U2" s="252"/>
      <c r="V2" s="252"/>
      <c r="W2" s="252"/>
      <c r="X2" s="252"/>
      <c r="Y2" s="252">
        <v>1</v>
      </c>
      <c r="Z2" s="252"/>
      <c r="AA2" s="252"/>
      <c r="AB2" s="252"/>
      <c r="AC2" s="252"/>
      <c r="AD2" s="252"/>
      <c r="AE2" s="252"/>
      <c r="AF2" s="253"/>
      <c r="AG2" s="253"/>
      <c r="AH2" s="253"/>
      <c r="AI2" s="253"/>
      <c r="AJ2" s="252" t="s">
        <v>122</v>
      </c>
    </row>
    <row r="3" spans="1:36" ht="12.9" x14ac:dyDescent="0.35">
      <c r="A3" s="173">
        <v>2012</v>
      </c>
      <c r="B3" s="173" t="s">
        <v>99</v>
      </c>
      <c r="C3" s="182" t="s">
        <v>126</v>
      </c>
      <c r="D3" s="181">
        <v>38</v>
      </c>
      <c r="E3" s="254" t="s">
        <v>43</v>
      </c>
      <c r="F3" s="252">
        <v>6</v>
      </c>
      <c r="G3" s="253"/>
      <c r="H3" s="252"/>
      <c r="I3" s="252">
        <v>4</v>
      </c>
      <c r="J3" s="252">
        <v>6</v>
      </c>
      <c r="K3" s="253"/>
      <c r="L3" s="252">
        <v>4</v>
      </c>
      <c r="M3" s="252"/>
      <c r="N3" s="252"/>
      <c r="O3" s="253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3"/>
      <c r="AG3" s="253"/>
      <c r="AH3" s="253"/>
      <c r="AI3" s="253"/>
      <c r="AJ3" s="252" t="s">
        <v>122</v>
      </c>
    </row>
    <row r="4" spans="1:36" ht="12.9" x14ac:dyDescent="0.35">
      <c r="A4" s="173">
        <v>2012</v>
      </c>
      <c r="B4" s="173" t="s">
        <v>99</v>
      </c>
      <c r="C4" s="182" t="s">
        <v>127</v>
      </c>
      <c r="D4" s="181">
        <v>58</v>
      </c>
      <c r="E4" s="254" t="s">
        <v>44</v>
      </c>
      <c r="F4" s="252">
        <v>4</v>
      </c>
      <c r="G4" s="252"/>
      <c r="H4" s="252"/>
      <c r="I4" s="253"/>
      <c r="J4" s="252">
        <v>1</v>
      </c>
      <c r="K4" s="253"/>
      <c r="L4" s="253"/>
      <c r="M4" s="252"/>
      <c r="N4" s="252"/>
      <c r="O4" s="253"/>
      <c r="P4" s="252"/>
      <c r="Q4" s="252"/>
      <c r="R4" s="253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3"/>
      <c r="AG4" s="253"/>
      <c r="AH4" s="253"/>
      <c r="AI4" s="253"/>
      <c r="AJ4" s="252" t="s">
        <v>122</v>
      </c>
    </row>
    <row r="5" spans="1:36" ht="12.9" x14ac:dyDescent="0.35">
      <c r="A5" s="173">
        <v>2012</v>
      </c>
      <c r="B5" s="173" t="s">
        <v>99</v>
      </c>
      <c r="C5" s="182" t="s">
        <v>128</v>
      </c>
      <c r="D5" s="181">
        <v>61</v>
      </c>
      <c r="E5" s="254" t="s">
        <v>45</v>
      </c>
      <c r="F5" s="252">
        <v>8</v>
      </c>
      <c r="G5" s="253"/>
      <c r="H5" s="252">
        <v>77</v>
      </c>
      <c r="I5" s="253">
        <v>3</v>
      </c>
      <c r="J5" s="253">
        <v>2</v>
      </c>
      <c r="K5" s="253"/>
      <c r="L5" s="252">
        <v>40</v>
      </c>
      <c r="M5" s="252">
        <v>25</v>
      </c>
      <c r="N5" s="252"/>
      <c r="O5" s="253"/>
      <c r="P5" s="252"/>
      <c r="Q5" s="252"/>
      <c r="R5" s="253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3"/>
      <c r="AG5" s="253"/>
      <c r="AH5" s="253">
        <v>1</v>
      </c>
      <c r="AI5" s="253"/>
      <c r="AJ5" s="252" t="s">
        <v>166</v>
      </c>
    </row>
    <row r="6" spans="1:36" ht="12.9" x14ac:dyDescent="0.35">
      <c r="A6" s="173">
        <v>2012</v>
      </c>
      <c r="B6" s="173" t="s">
        <v>99</v>
      </c>
      <c r="C6" s="182" t="s">
        <v>129</v>
      </c>
      <c r="D6" s="181">
        <v>62</v>
      </c>
      <c r="E6" s="254" t="s">
        <v>130</v>
      </c>
      <c r="F6" s="252">
        <v>3</v>
      </c>
      <c r="G6" s="252"/>
      <c r="H6" s="252"/>
      <c r="I6" s="252">
        <v>5</v>
      </c>
      <c r="J6" s="252"/>
      <c r="K6" s="253"/>
      <c r="L6" s="253"/>
      <c r="M6" s="252"/>
      <c r="N6" s="252"/>
      <c r="O6" s="253"/>
      <c r="P6" s="252"/>
      <c r="Q6" s="252"/>
      <c r="R6" s="253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3"/>
      <c r="AG6" s="253"/>
      <c r="AH6" s="253"/>
      <c r="AI6" s="253"/>
      <c r="AJ6" s="252" t="s">
        <v>122</v>
      </c>
    </row>
    <row r="7" spans="1:36" ht="12.9" x14ac:dyDescent="0.35">
      <c r="A7" s="173">
        <v>2012</v>
      </c>
      <c r="B7" s="173" t="s">
        <v>99</v>
      </c>
      <c r="C7" s="182" t="s">
        <v>131</v>
      </c>
      <c r="D7" s="181">
        <v>65</v>
      </c>
      <c r="E7" s="254" t="s">
        <v>47</v>
      </c>
      <c r="F7" s="252">
        <v>2</v>
      </c>
      <c r="G7" s="253"/>
      <c r="H7" s="252"/>
      <c r="I7" s="252"/>
      <c r="J7" s="253"/>
      <c r="K7" s="253"/>
      <c r="L7" s="253"/>
      <c r="M7" s="252"/>
      <c r="N7" s="252"/>
      <c r="O7" s="253"/>
      <c r="P7" s="252"/>
      <c r="Q7" s="252"/>
      <c r="R7" s="253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3"/>
      <c r="AG7" s="253"/>
      <c r="AH7" s="253"/>
      <c r="AI7" s="253"/>
      <c r="AJ7" s="252" t="s">
        <v>122</v>
      </c>
    </row>
    <row r="8" spans="1:36" ht="12.9" x14ac:dyDescent="0.35">
      <c r="A8" s="173">
        <v>2012</v>
      </c>
      <c r="B8" s="173" t="s">
        <v>100</v>
      </c>
      <c r="C8" s="182" t="s">
        <v>132</v>
      </c>
      <c r="D8" s="181">
        <v>66</v>
      </c>
      <c r="E8" s="254" t="s">
        <v>52</v>
      </c>
      <c r="F8" s="252">
        <v>2</v>
      </c>
      <c r="G8" s="253"/>
      <c r="H8" s="252"/>
      <c r="I8" s="252"/>
      <c r="J8" s="252"/>
      <c r="K8" s="253"/>
      <c r="L8" s="253"/>
      <c r="M8" s="252"/>
      <c r="N8" s="252"/>
      <c r="O8" s="253"/>
      <c r="P8" s="252"/>
      <c r="Q8" s="252"/>
      <c r="R8" s="253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3"/>
      <c r="AG8" s="253"/>
      <c r="AH8" s="253"/>
      <c r="AI8" s="253"/>
      <c r="AJ8" s="252" t="s">
        <v>122</v>
      </c>
    </row>
    <row r="9" spans="1:36" ht="12.9" x14ac:dyDescent="0.35">
      <c r="A9" s="173">
        <v>2012</v>
      </c>
      <c r="B9" s="173" t="s">
        <v>100</v>
      </c>
      <c r="C9" s="182" t="s">
        <v>133</v>
      </c>
      <c r="D9" s="181">
        <v>69</v>
      </c>
      <c r="E9" s="254" t="s">
        <v>33</v>
      </c>
      <c r="F9" s="252">
        <v>1</v>
      </c>
      <c r="G9" s="253"/>
      <c r="H9" s="252">
        <v>6</v>
      </c>
      <c r="I9" s="253">
        <v>1</v>
      </c>
      <c r="J9" s="253"/>
      <c r="K9" s="253"/>
      <c r="L9" s="253"/>
      <c r="M9" s="252"/>
      <c r="N9" s="252"/>
      <c r="O9" s="253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3"/>
      <c r="AG9" s="253"/>
      <c r="AH9" s="253"/>
      <c r="AI9" s="253"/>
      <c r="AJ9" s="252" t="s">
        <v>122</v>
      </c>
    </row>
    <row r="10" spans="1:36" ht="12.9" x14ac:dyDescent="0.35">
      <c r="A10" s="173">
        <v>2012</v>
      </c>
      <c r="B10" s="173" t="s">
        <v>99</v>
      </c>
      <c r="C10" s="182" t="s">
        <v>134</v>
      </c>
      <c r="D10" s="181">
        <v>70</v>
      </c>
      <c r="E10" s="254" t="s">
        <v>27</v>
      </c>
      <c r="F10" s="252">
        <v>8</v>
      </c>
      <c r="G10" s="253"/>
      <c r="H10" s="252">
        <v>27</v>
      </c>
      <c r="I10" s="253"/>
      <c r="J10" s="253"/>
      <c r="K10" s="252"/>
      <c r="L10" s="253"/>
      <c r="M10" s="252">
        <v>1</v>
      </c>
      <c r="N10" s="252"/>
      <c r="O10" s="253"/>
      <c r="P10" s="252"/>
      <c r="Q10" s="252"/>
      <c r="R10" s="253"/>
      <c r="S10" s="252"/>
      <c r="T10" s="252"/>
      <c r="U10" s="252"/>
      <c r="V10" s="252">
        <v>1</v>
      </c>
      <c r="W10" s="252"/>
      <c r="X10" s="252"/>
      <c r="Y10" s="252"/>
      <c r="Z10" s="252"/>
      <c r="AA10" s="252"/>
      <c r="AB10" s="252"/>
      <c r="AC10" s="252"/>
      <c r="AD10" s="252"/>
      <c r="AE10" s="252"/>
      <c r="AF10" s="253"/>
      <c r="AG10" s="253">
        <v>1</v>
      </c>
      <c r="AH10" s="253"/>
      <c r="AI10" s="253"/>
      <c r="AJ10" s="252" t="s">
        <v>122</v>
      </c>
    </row>
    <row r="11" spans="1:36" ht="12.9" x14ac:dyDescent="0.35">
      <c r="A11" s="173"/>
      <c r="B11" s="173"/>
      <c r="C11" s="182" t="s">
        <v>135</v>
      </c>
      <c r="D11" s="181">
        <v>71</v>
      </c>
      <c r="E11" s="254" t="s">
        <v>28</v>
      </c>
      <c r="F11" s="252">
        <v>5</v>
      </c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 t="s">
        <v>122</v>
      </c>
    </row>
    <row r="12" spans="1:36" ht="12.9" x14ac:dyDescent="0.35">
      <c r="A12" s="173">
        <v>2012</v>
      </c>
      <c r="B12" s="173" t="s">
        <v>100</v>
      </c>
      <c r="C12" s="182" t="s">
        <v>136</v>
      </c>
      <c r="D12" s="181">
        <v>72</v>
      </c>
      <c r="E12" s="254" t="s">
        <v>34</v>
      </c>
      <c r="F12" s="252">
        <v>6</v>
      </c>
      <c r="G12" s="253"/>
      <c r="H12" s="252">
        <v>12</v>
      </c>
      <c r="I12" s="253"/>
      <c r="J12" s="253"/>
      <c r="K12" s="253"/>
      <c r="L12" s="253"/>
      <c r="M12" s="252">
        <v>3</v>
      </c>
      <c r="N12" s="252"/>
      <c r="O12" s="253"/>
      <c r="P12" s="252"/>
      <c r="Q12" s="252"/>
      <c r="R12" s="253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3"/>
      <c r="AG12" s="253"/>
      <c r="AH12" s="253"/>
      <c r="AI12" s="253"/>
      <c r="AJ12" s="252" t="s">
        <v>122</v>
      </c>
    </row>
    <row r="13" spans="1:36" ht="18" customHeight="1" x14ac:dyDescent="0.35">
      <c r="A13" s="173">
        <v>2012</v>
      </c>
      <c r="B13" s="173" t="s">
        <v>100</v>
      </c>
      <c r="C13" s="182" t="s">
        <v>137</v>
      </c>
      <c r="D13" s="181">
        <v>73</v>
      </c>
      <c r="E13" s="254" t="s">
        <v>50</v>
      </c>
      <c r="F13" s="252">
        <v>4</v>
      </c>
      <c r="G13" s="253"/>
      <c r="H13" s="252">
        <v>3</v>
      </c>
      <c r="I13" s="253"/>
      <c r="J13" s="253">
        <v>1</v>
      </c>
      <c r="K13" s="253"/>
      <c r="L13" s="253"/>
      <c r="M13" s="252"/>
      <c r="N13" s="252"/>
      <c r="O13" s="253"/>
      <c r="P13" s="252"/>
      <c r="Q13" s="252"/>
      <c r="R13" s="253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3"/>
      <c r="AG13" s="253"/>
      <c r="AH13" s="253"/>
      <c r="AI13" s="253"/>
      <c r="AJ13" s="252" t="s">
        <v>122</v>
      </c>
    </row>
    <row r="14" spans="1:36" ht="12.9" x14ac:dyDescent="0.35">
      <c r="A14" s="173">
        <v>2012</v>
      </c>
      <c r="B14" s="173" t="s">
        <v>100</v>
      </c>
      <c r="C14" s="182" t="s">
        <v>138</v>
      </c>
      <c r="D14" s="181">
        <v>74</v>
      </c>
      <c r="E14" s="254" t="s">
        <v>37</v>
      </c>
      <c r="F14" s="252">
        <v>2</v>
      </c>
      <c r="G14" s="253"/>
      <c r="H14" s="252">
        <v>3</v>
      </c>
      <c r="I14" s="253"/>
      <c r="J14" s="253"/>
      <c r="K14" s="253"/>
      <c r="L14" s="253"/>
      <c r="M14" s="252"/>
      <c r="N14" s="252"/>
      <c r="O14" s="253"/>
      <c r="P14" s="252"/>
      <c r="Q14" s="252"/>
      <c r="R14" s="252"/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3"/>
      <c r="AG14" s="253"/>
      <c r="AH14" s="253"/>
      <c r="AI14" s="253"/>
      <c r="AJ14" s="252" t="s">
        <v>122</v>
      </c>
    </row>
    <row r="15" spans="1:36" ht="12.9" x14ac:dyDescent="0.35">
      <c r="A15" s="173">
        <v>2012</v>
      </c>
      <c r="B15" s="173" t="s">
        <v>100</v>
      </c>
      <c r="C15" s="182" t="s">
        <v>139</v>
      </c>
      <c r="D15" s="181">
        <v>75</v>
      </c>
      <c r="E15" s="254" t="s">
        <v>38</v>
      </c>
      <c r="F15" s="252">
        <v>3</v>
      </c>
      <c r="G15" s="253"/>
      <c r="H15" s="252">
        <v>10</v>
      </c>
      <c r="I15" s="253"/>
      <c r="J15" s="253"/>
      <c r="K15" s="253"/>
      <c r="L15" s="253"/>
      <c r="M15" s="252"/>
      <c r="N15" s="252"/>
      <c r="O15" s="252"/>
      <c r="P15" s="252"/>
      <c r="Q15" s="252"/>
      <c r="R15" s="253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3"/>
      <c r="AG15" s="253"/>
      <c r="AH15" s="253"/>
      <c r="AI15" s="253"/>
      <c r="AJ15" s="252" t="s">
        <v>122</v>
      </c>
    </row>
    <row r="16" spans="1:36" ht="12.9" x14ac:dyDescent="0.35">
      <c r="A16" s="173">
        <v>2012</v>
      </c>
      <c r="B16" s="173" t="s">
        <v>100</v>
      </c>
      <c r="C16" s="182" t="s">
        <v>140</v>
      </c>
      <c r="D16" s="181">
        <v>76</v>
      </c>
      <c r="E16" s="254" t="s">
        <v>39</v>
      </c>
      <c r="F16" s="252">
        <v>9</v>
      </c>
      <c r="G16" s="253"/>
      <c r="H16" s="252">
        <v>2</v>
      </c>
      <c r="I16" s="253"/>
      <c r="J16" s="253"/>
      <c r="K16" s="253"/>
      <c r="L16" s="253"/>
      <c r="M16" s="252"/>
      <c r="N16" s="252"/>
      <c r="O16" s="253"/>
      <c r="P16" s="252"/>
      <c r="Q16" s="252"/>
      <c r="R16" s="253"/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3"/>
      <c r="AG16" s="253"/>
      <c r="AH16" s="253"/>
      <c r="AI16" s="253"/>
      <c r="AJ16" s="252" t="s">
        <v>122</v>
      </c>
    </row>
    <row r="17" spans="1:36" ht="12.9" x14ac:dyDescent="0.35">
      <c r="A17" s="173">
        <v>2012</v>
      </c>
      <c r="B17" s="173" t="s">
        <v>100</v>
      </c>
      <c r="C17" s="182" t="s">
        <v>141</v>
      </c>
      <c r="D17" s="181">
        <v>78</v>
      </c>
      <c r="E17" s="254" t="s">
        <v>40</v>
      </c>
      <c r="F17" s="252">
        <v>0</v>
      </c>
      <c r="G17" s="253"/>
      <c r="H17" s="252"/>
      <c r="I17" s="253"/>
      <c r="J17" s="252"/>
      <c r="K17" s="253"/>
      <c r="L17" s="253"/>
      <c r="M17" s="252"/>
      <c r="N17" s="252"/>
      <c r="O17" s="253"/>
      <c r="P17" s="252"/>
      <c r="Q17" s="252"/>
      <c r="R17" s="252"/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3"/>
      <c r="AG17" s="253"/>
      <c r="AH17" s="253"/>
      <c r="AI17" s="253"/>
      <c r="AJ17" s="252" t="s">
        <v>122</v>
      </c>
    </row>
    <row r="18" spans="1:36" ht="12.9" x14ac:dyDescent="0.35">
      <c r="A18" s="173">
        <v>2012</v>
      </c>
      <c r="B18" s="173" t="s">
        <v>99</v>
      </c>
      <c r="C18" s="182" t="s">
        <v>142</v>
      </c>
      <c r="D18" s="181">
        <v>79</v>
      </c>
      <c r="E18" s="254" t="s">
        <v>29</v>
      </c>
      <c r="F18" s="252">
        <v>7</v>
      </c>
      <c r="G18" s="253"/>
      <c r="H18" s="252"/>
      <c r="I18" s="253">
        <v>3</v>
      </c>
      <c r="J18" s="253"/>
      <c r="K18" s="253"/>
      <c r="L18" s="253"/>
      <c r="M18" s="252"/>
      <c r="N18" s="252"/>
      <c r="O18" s="253"/>
      <c r="P18" s="252"/>
      <c r="Q18" s="252"/>
      <c r="R18" s="253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 t="s">
        <v>122</v>
      </c>
    </row>
    <row r="19" spans="1:36" ht="12.9" x14ac:dyDescent="0.35">
      <c r="A19" s="173">
        <v>2012</v>
      </c>
      <c r="B19" s="173" t="s">
        <v>99</v>
      </c>
      <c r="C19" s="182" t="s">
        <v>143</v>
      </c>
      <c r="D19" s="181">
        <v>80</v>
      </c>
      <c r="E19" s="254" t="s">
        <v>30</v>
      </c>
      <c r="F19" s="252">
        <v>2</v>
      </c>
      <c r="G19" s="253"/>
      <c r="H19" s="252"/>
      <c r="I19" s="253"/>
      <c r="J19" s="253"/>
      <c r="K19" s="253"/>
      <c r="L19" s="253"/>
      <c r="M19" s="252"/>
      <c r="N19" s="252"/>
      <c r="O19" s="253"/>
      <c r="P19" s="252"/>
      <c r="Q19" s="252"/>
      <c r="R19" s="253"/>
      <c r="S19" s="252"/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3"/>
      <c r="AG19" s="253"/>
      <c r="AH19" s="253"/>
      <c r="AI19" s="253"/>
      <c r="AJ19" s="252" t="s">
        <v>122</v>
      </c>
    </row>
    <row r="20" spans="1:36" ht="12.9" x14ac:dyDescent="0.35">
      <c r="A20" s="173">
        <v>2012</v>
      </c>
      <c r="B20" s="173" t="s">
        <v>99</v>
      </c>
      <c r="C20" s="182" t="s">
        <v>144</v>
      </c>
      <c r="D20" s="181">
        <v>81</v>
      </c>
      <c r="E20" s="254" t="s">
        <v>31</v>
      </c>
      <c r="F20" s="252">
        <v>2</v>
      </c>
      <c r="G20" s="252"/>
      <c r="H20" s="255">
        <v>15</v>
      </c>
      <c r="I20" s="255"/>
      <c r="J20" s="253"/>
      <c r="K20" s="253"/>
      <c r="L20" s="253"/>
      <c r="M20" s="252"/>
      <c r="N20" s="252"/>
      <c r="O20" s="253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3"/>
      <c r="AG20" s="253"/>
      <c r="AH20" s="253"/>
      <c r="AI20" s="253"/>
      <c r="AJ20" s="252" t="s">
        <v>122</v>
      </c>
    </row>
    <row r="21" spans="1:36" ht="12.9" x14ac:dyDescent="0.35">
      <c r="A21" s="173">
        <v>2012</v>
      </c>
      <c r="B21" s="173" t="s">
        <v>99</v>
      </c>
      <c r="C21" s="182" t="s">
        <v>145</v>
      </c>
      <c r="D21" s="181">
        <v>82</v>
      </c>
      <c r="E21" s="254" t="s">
        <v>32</v>
      </c>
      <c r="F21" s="252">
        <v>3</v>
      </c>
      <c r="G21" s="253"/>
      <c r="H21" s="252"/>
      <c r="I21" s="253">
        <v>1</v>
      </c>
      <c r="J21" s="253">
        <v>1</v>
      </c>
      <c r="K21" s="253"/>
      <c r="L21" s="252"/>
      <c r="M21" s="252"/>
      <c r="N21" s="252"/>
      <c r="O21" s="253"/>
      <c r="P21" s="252"/>
      <c r="Q21" s="252"/>
      <c r="R21" s="252"/>
      <c r="S21" s="252"/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3"/>
      <c r="AG21" s="253"/>
      <c r="AH21" s="253"/>
      <c r="AI21" s="253"/>
      <c r="AJ21" s="252" t="s">
        <v>122</v>
      </c>
    </row>
    <row r="22" spans="1:36" ht="12.9" x14ac:dyDescent="0.35">
      <c r="A22" s="173">
        <v>2012</v>
      </c>
      <c r="B22" s="173" t="s">
        <v>100</v>
      </c>
      <c r="C22" s="182" t="s">
        <v>146</v>
      </c>
      <c r="D22" s="181">
        <v>83</v>
      </c>
      <c r="E22" s="254" t="s">
        <v>26</v>
      </c>
      <c r="F22" s="252">
        <v>2</v>
      </c>
      <c r="G22" s="253"/>
      <c r="H22" s="252"/>
      <c r="I22" s="253">
        <v>1</v>
      </c>
      <c r="J22" s="253"/>
      <c r="K22" s="253"/>
      <c r="L22" s="252">
        <v>1</v>
      </c>
      <c r="M22" s="252">
        <v>13</v>
      </c>
      <c r="N22" s="252"/>
      <c r="O22" s="253"/>
      <c r="P22" s="252"/>
      <c r="Q22" s="252"/>
      <c r="R22" s="252"/>
      <c r="S22" s="252"/>
      <c r="T22" s="252"/>
      <c r="U22" s="252"/>
      <c r="V22" s="252"/>
      <c r="W22" s="252"/>
      <c r="X22" s="252"/>
      <c r="Y22" s="252"/>
      <c r="Z22" s="252"/>
      <c r="AA22" s="252"/>
      <c r="AB22" s="252"/>
      <c r="AC22" s="252"/>
      <c r="AD22" s="252"/>
      <c r="AE22" s="252"/>
      <c r="AF22" s="253"/>
      <c r="AG22" s="253"/>
      <c r="AH22" s="253"/>
      <c r="AI22" s="253"/>
      <c r="AJ22" s="252" t="s">
        <v>122</v>
      </c>
    </row>
    <row r="23" spans="1:36" ht="12.9" x14ac:dyDescent="0.35">
      <c r="A23" s="173">
        <v>2012</v>
      </c>
      <c r="B23" s="173" t="s">
        <v>100</v>
      </c>
      <c r="C23" s="182" t="s">
        <v>147</v>
      </c>
      <c r="D23" s="181">
        <v>84</v>
      </c>
      <c r="E23" s="254" t="s">
        <v>41</v>
      </c>
      <c r="F23" s="252">
        <v>6</v>
      </c>
      <c r="G23" s="253"/>
      <c r="H23" s="252">
        <v>35</v>
      </c>
      <c r="I23" s="253"/>
      <c r="J23" s="253"/>
      <c r="K23" s="253"/>
      <c r="L23" s="253"/>
      <c r="M23" s="252"/>
      <c r="N23" s="252"/>
      <c r="O23" s="253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3"/>
      <c r="AG23" s="253"/>
      <c r="AH23" s="253"/>
      <c r="AI23" s="253"/>
      <c r="AJ23" s="252" t="s">
        <v>122</v>
      </c>
    </row>
    <row r="24" spans="1:36" ht="12.9" x14ac:dyDescent="0.35">
      <c r="A24" s="173">
        <v>2012</v>
      </c>
      <c r="B24" s="173" t="s">
        <v>100</v>
      </c>
      <c r="C24" s="182" t="s">
        <v>148</v>
      </c>
      <c r="D24" s="181">
        <v>85</v>
      </c>
      <c r="E24" s="254" t="s">
        <v>48</v>
      </c>
      <c r="F24" s="252">
        <v>4</v>
      </c>
      <c r="G24" s="253"/>
      <c r="H24" s="252">
        <v>38</v>
      </c>
      <c r="I24" s="253"/>
      <c r="J24" s="253"/>
      <c r="K24" s="253"/>
      <c r="L24" s="252"/>
      <c r="M24" s="252"/>
      <c r="N24" s="252"/>
      <c r="O24" s="253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3"/>
      <c r="AG24" s="253"/>
      <c r="AH24" s="253"/>
      <c r="AI24" s="253"/>
      <c r="AJ24" s="252" t="s">
        <v>122</v>
      </c>
    </row>
    <row r="25" spans="1:36" ht="12.9" x14ac:dyDescent="0.35">
      <c r="A25" s="173">
        <v>2012</v>
      </c>
      <c r="B25" s="173" t="s">
        <v>100</v>
      </c>
      <c r="C25" s="182" t="s">
        <v>149</v>
      </c>
      <c r="D25" s="181">
        <v>86</v>
      </c>
      <c r="E25" s="254" t="s">
        <v>35</v>
      </c>
      <c r="F25" s="252">
        <v>0</v>
      </c>
      <c r="G25" s="253"/>
      <c r="H25" s="252">
        <v>42</v>
      </c>
      <c r="I25" s="253"/>
      <c r="J25" s="253"/>
      <c r="K25" s="253"/>
      <c r="L25" s="253"/>
      <c r="M25" s="252"/>
      <c r="N25" s="252"/>
      <c r="O25" s="253"/>
      <c r="P25" s="252"/>
      <c r="Q25" s="252"/>
      <c r="R25" s="252"/>
      <c r="S25" s="252"/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3"/>
      <c r="AG25" s="253"/>
      <c r="AH25" s="253"/>
      <c r="AI25" s="253"/>
      <c r="AJ25" s="252" t="s">
        <v>15</v>
      </c>
    </row>
    <row r="26" spans="1:36" ht="12.9" x14ac:dyDescent="0.35">
      <c r="A26" s="173">
        <v>2012</v>
      </c>
      <c r="B26" s="173" t="s">
        <v>100</v>
      </c>
      <c r="C26" s="182" t="s">
        <v>150</v>
      </c>
      <c r="D26" s="181">
        <v>87</v>
      </c>
      <c r="E26" s="254" t="s">
        <v>36</v>
      </c>
      <c r="F26" s="252">
        <v>5</v>
      </c>
      <c r="G26" s="253"/>
      <c r="H26" s="252">
        <v>9</v>
      </c>
      <c r="I26" s="253"/>
      <c r="J26" s="253"/>
      <c r="K26" s="253"/>
      <c r="L26" s="253"/>
      <c r="M26" s="252">
        <v>1</v>
      </c>
      <c r="N26" s="252"/>
      <c r="O26" s="253"/>
      <c r="P26" s="252"/>
      <c r="Q26" s="252"/>
      <c r="R26" s="252"/>
      <c r="S26" s="252"/>
      <c r="T26" s="252"/>
      <c r="U26" s="252"/>
      <c r="V26" s="252"/>
      <c r="W26" s="252"/>
      <c r="X26" s="252"/>
      <c r="Y26" s="252"/>
      <c r="Z26" s="252"/>
      <c r="AA26" s="252"/>
      <c r="AB26" s="252"/>
      <c r="AC26" s="252"/>
      <c r="AD26" s="252"/>
      <c r="AE26" s="252"/>
      <c r="AF26" s="253"/>
      <c r="AG26" s="253"/>
      <c r="AH26" s="253"/>
      <c r="AI26" s="253"/>
      <c r="AJ26" s="252" t="s">
        <v>122</v>
      </c>
    </row>
    <row r="27" spans="1:36" ht="12" x14ac:dyDescent="0.35">
      <c r="C27" s="256"/>
      <c r="D27" s="24"/>
      <c r="E27" s="256" t="s">
        <v>9</v>
      </c>
      <c r="F27" s="255">
        <f>SUM(F2:F26)</f>
        <v>100</v>
      </c>
      <c r="G27" s="255">
        <f t="shared" ref="G27:AI27" si="0">SUM(G2:G26)</f>
        <v>0</v>
      </c>
      <c r="H27" s="255">
        <f t="shared" si="0"/>
        <v>339</v>
      </c>
      <c r="I27" s="255">
        <f t="shared" si="0"/>
        <v>20</v>
      </c>
      <c r="J27" s="255">
        <f t="shared" si="0"/>
        <v>11</v>
      </c>
      <c r="K27" s="255">
        <f t="shared" si="0"/>
        <v>0</v>
      </c>
      <c r="L27" s="255">
        <f t="shared" si="0"/>
        <v>49</v>
      </c>
      <c r="M27" s="255">
        <f t="shared" si="0"/>
        <v>46</v>
      </c>
      <c r="N27" s="255">
        <f t="shared" si="0"/>
        <v>0</v>
      </c>
      <c r="O27" s="255">
        <f t="shared" si="0"/>
        <v>0</v>
      </c>
      <c r="P27" s="255">
        <f t="shared" si="0"/>
        <v>0</v>
      </c>
      <c r="Q27" s="255">
        <f t="shared" si="0"/>
        <v>0</v>
      </c>
      <c r="R27" s="255">
        <f t="shared" si="0"/>
        <v>0</v>
      </c>
      <c r="S27" s="255">
        <f t="shared" si="0"/>
        <v>0</v>
      </c>
      <c r="T27" s="255">
        <f t="shared" si="0"/>
        <v>0</v>
      </c>
      <c r="U27" s="255">
        <f t="shared" si="0"/>
        <v>0</v>
      </c>
      <c r="V27" s="255">
        <f t="shared" si="0"/>
        <v>1</v>
      </c>
      <c r="W27" s="255">
        <f t="shared" si="0"/>
        <v>0</v>
      </c>
      <c r="X27" s="255">
        <f t="shared" si="0"/>
        <v>0</v>
      </c>
      <c r="Y27" s="255">
        <f t="shared" si="0"/>
        <v>1</v>
      </c>
      <c r="Z27" s="255">
        <f t="shared" si="0"/>
        <v>0</v>
      </c>
      <c r="AA27" s="255">
        <f t="shared" si="0"/>
        <v>0</v>
      </c>
      <c r="AB27" s="255">
        <f t="shared" si="0"/>
        <v>0</v>
      </c>
      <c r="AC27" s="255">
        <f t="shared" si="0"/>
        <v>0</v>
      </c>
      <c r="AD27" s="255">
        <f t="shared" si="0"/>
        <v>0</v>
      </c>
      <c r="AE27" s="255">
        <f t="shared" si="0"/>
        <v>0</v>
      </c>
      <c r="AF27" s="255">
        <f t="shared" si="0"/>
        <v>0</v>
      </c>
      <c r="AG27" s="255">
        <f t="shared" ref="AG27" si="1">SUM(AG2:AG26)</f>
        <v>1</v>
      </c>
      <c r="AH27" s="255">
        <f t="shared" ref="AH27" si="2">SUM(AH2:AH26)</f>
        <v>1</v>
      </c>
      <c r="AI27" s="255">
        <f t="shared" si="0"/>
        <v>0</v>
      </c>
      <c r="AJ27" s="255">
        <f>SUM(F27:AI27)</f>
        <v>569</v>
      </c>
    </row>
    <row r="28" spans="1:36" ht="12" x14ac:dyDescent="0.35">
      <c r="F28" s="202"/>
      <c r="G28" s="201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</row>
    <row r="29" spans="1:36" ht="12" x14ac:dyDescent="0.35">
      <c r="F29" s="202"/>
      <c r="G29" s="201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59999389629810485"/>
  </sheetPr>
  <dimension ref="A1:AF29"/>
  <sheetViews>
    <sheetView zoomScale="110" zoomScaleNormal="110" workbookViewId="0">
      <pane ySplit="1" topLeftCell="A2" activePane="bottomLeft" state="frozen"/>
      <selection activeCell="E1" sqref="E1"/>
      <selection pane="bottomLeft" activeCell="AG1" sqref="AG1:AJ1048576"/>
    </sheetView>
  </sheetViews>
  <sheetFormatPr defaultColWidth="8.765625" defaultRowHeight="11.6" x14ac:dyDescent="0.3"/>
  <cols>
    <col min="1" max="1" width="8.765625" style="78"/>
    <col min="2" max="3" width="7.4609375" style="78" customWidth="1"/>
    <col min="4" max="4" width="8.765625" style="180"/>
    <col min="5" max="5" width="14.3046875" style="78" customWidth="1"/>
    <col min="6" max="6" width="5.3046875" style="78" customWidth="1"/>
    <col min="7" max="7" width="5.3046875" style="180" customWidth="1"/>
    <col min="8" max="32" width="5.3046875" style="78" customWidth="1"/>
    <col min="33" max="16384" width="8.765625" style="78"/>
  </cols>
  <sheetData>
    <row r="1" spans="1:32" ht="114" customHeight="1" x14ac:dyDescent="0.35">
      <c r="A1" s="173" t="s">
        <v>117</v>
      </c>
      <c r="B1" s="246" t="s">
        <v>0</v>
      </c>
      <c r="C1" s="173" t="s">
        <v>25</v>
      </c>
      <c r="D1" s="249" t="s">
        <v>5</v>
      </c>
      <c r="E1" s="249" t="s">
        <v>6</v>
      </c>
      <c r="F1" s="249" t="s">
        <v>1</v>
      </c>
      <c r="G1" s="249" t="s">
        <v>7</v>
      </c>
      <c r="H1" s="249" t="s">
        <v>4</v>
      </c>
      <c r="I1" s="249" t="s">
        <v>3</v>
      </c>
      <c r="J1" s="249" t="s">
        <v>2</v>
      </c>
      <c r="K1" s="249" t="s">
        <v>118</v>
      </c>
      <c r="L1" s="249" t="s">
        <v>86</v>
      </c>
      <c r="M1" s="249" t="s">
        <v>88</v>
      </c>
      <c r="N1" s="249" t="s">
        <v>96</v>
      </c>
      <c r="O1" s="249" t="s">
        <v>22</v>
      </c>
      <c r="P1" s="249" t="s">
        <v>94</v>
      </c>
      <c r="Q1" s="249" t="s">
        <v>57</v>
      </c>
      <c r="R1" s="249" t="s">
        <v>54</v>
      </c>
      <c r="S1" s="249" t="s">
        <v>119</v>
      </c>
      <c r="T1" s="249" t="s">
        <v>56</v>
      </c>
      <c r="U1" s="249" t="s">
        <v>53</v>
      </c>
      <c r="V1" s="249" t="s">
        <v>156</v>
      </c>
      <c r="W1" s="249" t="s">
        <v>17</v>
      </c>
      <c r="X1" s="249" t="s">
        <v>93</v>
      </c>
      <c r="Y1" s="249" t="s">
        <v>120</v>
      </c>
      <c r="Z1" s="249" t="s">
        <v>8</v>
      </c>
      <c r="AA1" s="249" t="s">
        <v>157</v>
      </c>
      <c r="AB1" s="249" t="s">
        <v>23</v>
      </c>
      <c r="AC1" s="249" t="s">
        <v>49</v>
      </c>
      <c r="AD1" s="249" t="s">
        <v>121</v>
      </c>
      <c r="AE1" s="249" t="s">
        <v>151</v>
      </c>
      <c r="AF1" s="249" t="s">
        <v>13</v>
      </c>
    </row>
    <row r="2" spans="1:32" ht="51.45" x14ac:dyDescent="0.35">
      <c r="A2" s="173" t="s">
        <v>125</v>
      </c>
      <c r="B2" s="246">
        <v>30</v>
      </c>
      <c r="C2" s="247" t="s">
        <v>89</v>
      </c>
      <c r="D2" s="201">
        <v>1</v>
      </c>
      <c r="E2" s="248"/>
      <c r="F2" s="201">
        <v>1</v>
      </c>
      <c r="G2" s="248"/>
      <c r="H2" s="248"/>
      <c r="I2" s="248"/>
      <c r="J2" s="248">
        <v>3</v>
      </c>
      <c r="K2" s="201"/>
      <c r="L2" s="248"/>
      <c r="M2" s="201"/>
      <c r="N2" s="201"/>
      <c r="O2" s="248"/>
      <c r="P2" s="201"/>
      <c r="Q2" s="201"/>
      <c r="R2" s="201"/>
      <c r="S2" s="201"/>
      <c r="T2" s="201"/>
      <c r="U2" s="201"/>
      <c r="V2" s="201">
        <v>1</v>
      </c>
      <c r="W2" s="201"/>
      <c r="X2" s="201"/>
      <c r="Y2" s="201"/>
      <c r="Z2" s="201"/>
      <c r="AA2" s="201"/>
      <c r="AB2" s="201"/>
      <c r="AC2" s="201"/>
      <c r="AD2" s="248"/>
      <c r="AE2" s="248"/>
      <c r="AF2" s="201" t="s">
        <v>122</v>
      </c>
    </row>
    <row r="3" spans="1:32" ht="12.9" x14ac:dyDescent="0.35">
      <c r="A3" s="173" t="s">
        <v>126</v>
      </c>
      <c r="B3" s="246">
        <v>38</v>
      </c>
      <c r="C3" s="173" t="s">
        <v>43</v>
      </c>
      <c r="D3" s="201">
        <v>3</v>
      </c>
      <c r="E3" s="248"/>
      <c r="F3" s="201">
        <v>1</v>
      </c>
      <c r="G3" s="201"/>
      <c r="H3" s="201"/>
      <c r="I3" s="248"/>
      <c r="J3" s="201">
        <v>1</v>
      </c>
      <c r="K3" s="201"/>
      <c r="L3" s="248"/>
      <c r="M3" s="201"/>
      <c r="N3" s="201"/>
      <c r="O3" s="201"/>
      <c r="P3" s="201"/>
      <c r="Q3" s="201"/>
      <c r="R3" s="201"/>
      <c r="S3" s="201"/>
      <c r="T3" s="201"/>
      <c r="U3" s="201"/>
      <c r="V3" s="201" t="s">
        <v>20</v>
      </c>
      <c r="W3" s="201"/>
      <c r="X3" s="201">
        <v>2</v>
      </c>
      <c r="Y3" s="201"/>
      <c r="Z3" s="201"/>
      <c r="AA3" s="201"/>
      <c r="AB3" s="201"/>
      <c r="AC3" s="201"/>
      <c r="AD3" s="248"/>
      <c r="AE3" s="248"/>
      <c r="AF3" s="201" t="s">
        <v>122</v>
      </c>
    </row>
    <row r="4" spans="1:32" ht="12.9" x14ac:dyDescent="0.35">
      <c r="A4" s="173" t="s">
        <v>127</v>
      </c>
      <c r="B4" s="246">
        <v>58</v>
      </c>
      <c r="C4" s="173" t="s">
        <v>44</v>
      </c>
      <c r="D4" s="201">
        <v>2</v>
      </c>
      <c r="E4" s="201"/>
      <c r="F4" s="201"/>
      <c r="G4" s="248">
        <v>1</v>
      </c>
      <c r="H4" s="201"/>
      <c r="I4" s="248"/>
      <c r="J4" s="248"/>
      <c r="K4" s="201"/>
      <c r="L4" s="248"/>
      <c r="M4" s="201"/>
      <c r="N4" s="201"/>
      <c r="O4" s="248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48"/>
      <c r="AE4" s="248"/>
      <c r="AF4" s="201" t="s">
        <v>122</v>
      </c>
    </row>
    <row r="5" spans="1:32" ht="12.9" x14ac:dyDescent="0.35">
      <c r="A5" s="173" t="s">
        <v>128</v>
      </c>
      <c r="B5" s="246">
        <v>61</v>
      </c>
      <c r="C5" s="173" t="s">
        <v>45</v>
      </c>
      <c r="D5" s="201">
        <v>3</v>
      </c>
      <c r="E5" s="248"/>
      <c r="F5" s="201">
        <v>56</v>
      </c>
      <c r="G5" s="248"/>
      <c r="H5" s="248"/>
      <c r="I5" s="248"/>
      <c r="J5" s="201">
        <v>11</v>
      </c>
      <c r="K5" s="201"/>
      <c r="L5" s="248">
        <v>1</v>
      </c>
      <c r="M5" s="201"/>
      <c r="N5" s="201"/>
      <c r="O5" s="248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48"/>
      <c r="AE5" s="248"/>
      <c r="AF5" s="201" t="s">
        <v>122</v>
      </c>
    </row>
    <row r="6" spans="1:32" ht="12.9" x14ac:dyDescent="0.35">
      <c r="A6" s="173" t="s">
        <v>129</v>
      </c>
      <c r="B6" s="246">
        <v>62</v>
      </c>
      <c r="C6" s="173" t="s">
        <v>130</v>
      </c>
      <c r="D6" s="201">
        <v>4</v>
      </c>
      <c r="E6" s="201"/>
      <c r="F6" s="201"/>
      <c r="G6" s="201"/>
      <c r="H6" s="201">
        <v>1</v>
      </c>
      <c r="I6" s="248"/>
      <c r="J6" s="248">
        <v>3</v>
      </c>
      <c r="K6" s="201"/>
      <c r="L6" s="248">
        <v>2</v>
      </c>
      <c r="M6" s="201"/>
      <c r="N6" s="201"/>
      <c r="O6" s="248"/>
      <c r="P6" s="201"/>
      <c r="Q6" s="201"/>
      <c r="R6" s="201"/>
      <c r="S6" s="201">
        <v>1</v>
      </c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48"/>
      <c r="AE6" s="248"/>
      <c r="AF6" s="201" t="s">
        <v>122</v>
      </c>
    </row>
    <row r="7" spans="1:32" ht="12.9" x14ac:dyDescent="0.35">
      <c r="A7" s="173" t="s">
        <v>131</v>
      </c>
      <c r="B7" s="246">
        <v>65</v>
      </c>
      <c r="C7" s="173" t="s">
        <v>47</v>
      </c>
      <c r="D7" s="201">
        <v>1</v>
      </c>
      <c r="E7" s="248"/>
      <c r="F7" s="201"/>
      <c r="G7" s="201">
        <v>1</v>
      </c>
      <c r="H7" s="248"/>
      <c r="I7" s="248"/>
      <c r="J7" s="248"/>
      <c r="K7" s="201"/>
      <c r="L7" s="248"/>
      <c r="M7" s="201"/>
      <c r="N7" s="201"/>
      <c r="O7" s="248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48"/>
      <c r="AE7" s="248"/>
      <c r="AF7" s="201" t="s">
        <v>122</v>
      </c>
    </row>
    <row r="8" spans="1:32" ht="12.9" x14ac:dyDescent="0.35">
      <c r="A8" s="173" t="s">
        <v>132</v>
      </c>
      <c r="B8" s="246">
        <v>66</v>
      </c>
      <c r="C8" s="173" t="s">
        <v>52</v>
      </c>
      <c r="D8" s="201">
        <v>1</v>
      </c>
      <c r="E8" s="248"/>
      <c r="F8" s="201"/>
      <c r="G8" s="201"/>
      <c r="H8" s="201"/>
      <c r="I8" s="248"/>
      <c r="J8" s="248"/>
      <c r="K8" s="201"/>
      <c r="L8" s="248"/>
      <c r="M8" s="201"/>
      <c r="N8" s="201"/>
      <c r="O8" s="248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48"/>
      <c r="AE8" s="248"/>
      <c r="AF8" s="201" t="s">
        <v>122</v>
      </c>
    </row>
    <row r="9" spans="1:32" ht="12.9" x14ac:dyDescent="0.35">
      <c r="A9" s="173" t="s">
        <v>133</v>
      </c>
      <c r="B9" s="246">
        <v>69</v>
      </c>
      <c r="C9" s="173" t="s">
        <v>33</v>
      </c>
      <c r="D9" s="201"/>
      <c r="E9" s="248"/>
      <c r="F9" s="201">
        <v>6</v>
      </c>
      <c r="G9" s="248"/>
      <c r="H9" s="248"/>
      <c r="I9" s="248"/>
      <c r="J9" s="248"/>
      <c r="K9" s="201"/>
      <c r="L9" s="248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48"/>
      <c r="AE9" s="248"/>
      <c r="AF9" s="201" t="s">
        <v>122</v>
      </c>
    </row>
    <row r="10" spans="1:32" ht="12.9" x14ac:dyDescent="0.35">
      <c r="A10" s="173" t="s">
        <v>134</v>
      </c>
      <c r="B10" s="246">
        <v>70</v>
      </c>
      <c r="C10" s="173" t="s">
        <v>27</v>
      </c>
      <c r="D10" s="201"/>
      <c r="E10" s="248"/>
      <c r="F10" s="201"/>
      <c r="G10" s="248">
        <v>1</v>
      </c>
      <c r="H10" s="248"/>
      <c r="I10" s="201"/>
      <c r="J10" s="248"/>
      <c r="K10" s="201"/>
      <c r="L10" s="248"/>
      <c r="M10" s="201"/>
      <c r="N10" s="201"/>
      <c r="O10" s="248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48"/>
      <c r="AE10" s="248"/>
      <c r="AF10" s="201" t="s">
        <v>122</v>
      </c>
    </row>
    <row r="11" spans="1:32" ht="12.9" x14ac:dyDescent="0.35">
      <c r="A11" s="173" t="s">
        <v>135</v>
      </c>
      <c r="B11" s="246">
        <v>71</v>
      </c>
      <c r="C11" s="173" t="s">
        <v>28</v>
      </c>
      <c r="D11" s="201">
        <v>4</v>
      </c>
      <c r="E11" s="201"/>
      <c r="F11" s="201">
        <v>4</v>
      </c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 t="s">
        <v>122</v>
      </c>
    </row>
    <row r="12" spans="1:32" ht="12.9" x14ac:dyDescent="0.35">
      <c r="A12" s="173" t="s">
        <v>136</v>
      </c>
      <c r="B12" s="246">
        <v>72</v>
      </c>
      <c r="C12" s="173" t="s">
        <v>34</v>
      </c>
      <c r="D12" s="201"/>
      <c r="E12" s="248"/>
      <c r="F12" s="201"/>
      <c r="G12" s="248"/>
      <c r="H12" s="248"/>
      <c r="I12" s="248"/>
      <c r="J12" s="248"/>
      <c r="K12" s="201"/>
      <c r="L12" s="248"/>
      <c r="M12" s="201"/>
      <c r="N12" s="201"/>
      <c r="O12" s="248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48"/>
      <c r="AE12" s="248"/>
      <c r="AF12" s="201" t="s">
        <v>122</v>
      </c>
    </row>
    <row r="13" spans="1:32" ht="18" customHeight="1" x14ac:dyDescent="0.35">
      <c r="A13" s="173" t="s">
        <v>137</v>
      </c>
      <c r="B13" s="246">
        <v>73</v>
      </c>
      <c r="C13" s="173" t="s">
        <v>50</v>
      </c>
      <c r="D13" s="201">
        <v>1</v>
      </c>
      <c r="E13" s="248"/>
      <c r="F13" s="201"/>
      <c r="G13" s="248"/>
      <c r="H13" s="248"/>
      <c r="I13" s="248"/>
      <c r="J13" s="248"/>
      <c r="K13" s="201"/>
      <c r="L13" s="248"/>
      <c r="M13" s="201"/>
      <c r="N13" s="201"/>
      <c r="O13" s="248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48"/>
      <c r="AE13" s="248"/>
      <c r="AF13" s="201" t="s">
        <v>122</v>
      </c>
    </row>
    <row r="14" spans="1:32" ht="12.9" x14ac:dyDescent="0.35">
      <c r="A14" s="173" t="s">
        <v>138</v>
      </c>
      <c r="B14" s="246">
        <v>74</v>
      </c>
      <c r="C14" s="173" t="s">
        <v>37</v>
      </c>
      <c r="D14" s="201">
        <v>6</v>
      </c>
      <c r="E14" s="248"/>
      <c r="F14" s="201">
        <v>3</v>
      </c>
      <c r="G14" s="248"/>
      <c r="H14" s="248"/>
      <c r="I14" s="248"/>
      <c r="J14" s="248"/>
      <c r="K14" s="201"/>
      <c r="L14" s="248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48"/>
      <c r="AE14" s="248"/>
      <c r="AF14" s="201" t="s">
        <v>122</v>
      </c>
    </row>
    <row r="15" spans="1:32" ht="12.9" x14ac:dyDescent="0.35">
      <c r="A15" s="173" t="s">
        <v>139</v>
      </c>
      <c r="B15" s="246">
        <v>75</v>
      </c>
      <c r="C15" s="173" t="s">
        <v>38</v>
      </c>
      <c r="D15" s="201"/>
      <c r="E15" s="248" t="s">
        <v>20</v>
      </c>
      <c r="F15" s="201">
        <v>22</v>
      </c>
      <c r="G15" s="248"/>
      <c r="H15" s="248"/>
      <c r="I15" s="248"/>
      <c r="J15" s="248"/>
      <c r="K15" s="201"/>
      <c r="L15" s="201"/>
      <c r="M15" s="201"/>
      <c r="N15" s="201"/>
      <c r="O15" s="248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48"/>
      <c r="AE15" s="248"/>
      <c r="AF15" s="201" t="s">
        <v>122</v>
      </c>
    </row>
    <row r="16" spans="1:32" ht="12.9" x14ac:dyDescent="0.35">
      <c r="A16" s="173" t="s">
        <v>140</v>
      </c>
      <c r="B16" s="246">
        <v>76</v>
      </c>
      <c r="C16" s="173" t="s">
        <v>39</v>
      </c>
      <c r="D16" s="201"/>
      <c r="E16" s="248"/>
      <c r="F16" s="201"/>
      <c r="G16" s="248"/>
      <c r="H16" s="248"/>
      <c r="I16" s="248"/>
      <c r="J16" s="248"/>
      <c r="K16" s="201"/>
      <c r="L16" s="248"/>
      <c r="M16" s="201"/>
      <c r="N16" s="201"/>
      <c r="O16" s="248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48"/>
      <c r="AE16" s="248"/>
      <c r="AF16" s="201" t="s">
        <v>122</v>
      </c>
    </row>
    <row r="17" spans="1:32" ht="12.9" x14ac:dyDescent="0.35">
      <c r="A17" s="173" t="s">
        <v>141</v>
      </c>
      <c r="B17" s="246">
        <v>78</v>
      </c>
      <c r="C17" s="173" t="s">
        <v>40</v>
      </c>
      <c r="D17" s="201"/>
      <c r="E17" s="248"/>
      <c r="F17" s="201"/>
      <c r="G17" s="248"/>
      <c r="H17" s="201"/>
      <c r="I17" s="248"/>
      <c r="J17" s="248"/>
      <c r="K17" s="201"/>
      <c r="L17" s="248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48"/>
      <c r="AE17" s="248"/>
      <c r="AF17" s="201" t="s">
        <v>122</v>
      </c>
    </row>
    <row r="18" spans="1:32" ht="12.9" x14ac:dyDescent="0.35">
      <c r="A18" s="173" t="s">
        <v>142</v>
      </c>
      <c r="B18" s="246">
        <v>79</v>
      </c>
      <c r="C18" s="173" t="s">
        <v>29</v>
      </c>
      <c r="D18" s="201">
        <v>1</v>
      </c>
      <c r="E18" s="248"/>
      <c r="F18" s="201"/>
      <c r="G18" s="248"/>
      <c r="H18" s="248"/>
      <c r="I18" s="248"/>
      <c r="J18" s="248"/>
      <c r="K18" s="201"/>
      <c r="L18" s="248"/>
      <c r="M18" s="201"/>
      <c r="N18" s="201"/>
      <c r="O18" s="248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 t="s">
        <v>122</v>
      </c>
    </row>
    <row r="19" spans="1:32" ht="12.9" x14ac:dyDescent="0.35">
      <c r="A19" s="173" t="s">
        <v>143</v>
      </c>
      <c r="B19" s="246">
        <v>80</v>
      </c>
      <c r="C19" s="173" t="s">
        <v>30</v>
      </c>
      <c r="D19" s="201"/>
      <c r="E19" s="248" t="s">
        <v>20</v>
      </c>
      <c r="F19" s="201"/>
      <c r="G19" s="248"/>
      <c r="H19" s="248"/>
      <c r="I19" s="248"/>
      <c r="J19" s="248"/>
      <c r="K19" s="201"/>
      <c r="L19" s="248"/>
      <c r="M19" s="201"/>
      <c r="N19" s="201"/>
      <c r="O19" s="248">
        <v>1</v>
      </c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48"/>
      <c r="AE19" s="248"/>
      <c r="AF19" s="201" t="s">
        <v>122</v>
      </c>
    </row>
    <row r="20" spans="1:32" ht="12.9" x14ac:dyDescent="0.35">
      <c r="A20" s="173" t="s">
        <v>144</v>
      </c>
      <c r="B20" s="246">
        <v>81</v>
      </c>
      <c r="C20" s="173" t="s">
        <v>31</v>
      </c>
      <c r="D20" s="201"/>
      <c r="E20" s="201"/>
      <c r="F20" s="202"/>
      <c r="G20" s="202"/>
      <c r="H20" s="248"/>
      <c r="I20" s="248"/>
      <c r="J20" s="248"/>
      <c r="K20" s="201"/>
      <c r="L20" s="248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48"/>
      <c r="AE20" s="248"/>
      <c r="AF20" s="201" t="s">
        <v>122</v>
      </c>
    </row>
    <row r="21" spans="1:32" ht="12.9" x14ac:dyDescent="0.35">
      <c r="A21" s="173" t="s">
        <v>145</v>
      </c>
      <c r="B21" s="246">
        <v>82</v>
      </c>
      <c r="C21" s="173" t="s">
        <v>32</v>
      </c>
      <c r="D21" s="201">
        <v>1</v>
      </c>
      <c r="E21" s="248"/>
      <c r="F21" s="201"/>
      <c r="G21" s="248"/>
      <c r="H21" s="248"/>
      <c r="I21" s="248"/>
      <c r="J21" s="201"/>
      <c r="K21" s="201">
        <v>2</v>
      </c>
      <c r="L21" s="248">
        <v>2</v>
      </c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48"/>
      <c r="AE21" s="248"/>
      <c r="AF21" s="201" t="s">
        <v>122</v>
      </c>
    </row>
    <row r="22" spans="1:32" ht="12.9" x14ac:dyDescent="0.35">
      <c r="A22" s="173" t="s">
        <v>146</v>
      </c>
      <c r="B22" s="246">
        <v>83</v>
      </c>
      <c r="C22" s="173" t="s">
        <v>26</v>
      </c>
      <c r="D22" s="201"/>
      <c r="E22" s="248"/>
      <c r="F22" s="201">
        <v>7</v>
      </c>
      <c r="G22" s="248"/>
      <c r="H22" s="248"/>
      <c r="I22" s="248"/>
      <c r="J22" s="201"/>
      <c r="K22" s="201"/>
      <c r="L22" s="248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48"/>
      <c r="AE22" s="248"/>
      <c r="AF22" s="201" t="s">
        <v>122</v>
      </c>
    </row>
    <row r="23" spans="1:32" ht="12.9" x14ac:dyDescent="0.35">
      <c r="A23" s="173" t="s">
        <v>147</v>
      </c>
      <c r="B23" s="246">
        <v>84</v>
      </c>
      <c r="C23" s="173" t="s">
        <v>41</v>
      </c>
      <c r="D23" s="201"/>
      <c r="E23" s="248" t="s">
        <v>20</v>
      </c>
      <c r="F23" s="201">
        <v>3</v>
      </c>
      <c r="G23" s="248"/>
      <c r="H23" s="248"/>
      <c r="I23" s="248"/>
      <c r="J23" s="248"/>
      <c r="K23" s="201"/>
      <c r="L23" s="248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48"/>
      <c r="AE23" s="248"/>
      <c r="AF23" s="201" t="s">
        <v>122</v>
      </c>
    </row>
    <row r="24" spans="1:32" ht="12.9" x14ac:dyDescent="0.35">
      <c r="A24" s="173" t="s">
        <v>148</v>
      </c>
      <c r="B24" s="246">
        <v>85</v>
      </c>
      <c r="C24" s="173" t="s">
        <v>48</v>
      </c>
      <c r="D24" s="201">
        <v>2</v>
      </c>
      <c r="E24" s="248" t="s">
        <v>20</v>
      </c>
      <c r="F24" s="201">
        <v>9</v>
      </c>
      <c r="G24" s="248"/>
      <c r="H24" s="248"/>
      <c r="I24" s="248"/>
      <c r="J24" s="201"/>
      <c r="K24" s="201"/>
      <c r="L24" s="248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48"/>
      <c r="AE24" s="248"/>
      <c r="AF24" s="201" t="s">
        <v>122</v>
      </c>
    </row>
    <row r="25" spans="1:32" ht="12.9" x14ac:dyDescent="0.35">
      <c r="A25" s="173" t="s">
        <v>149</v>
      </c>
      <c r="B25" s="246">
        <v>86</v>
      </c>
      <c r="C25" s="173" t="s">
        <v>35</v>
      </c>
      <c r="D25" s="201"/>
      <c r="E25" s="248"/>
      <c r="F25" s="201">
        <v>9</v>
      </c>
      <c r="G25" s="248"/>
      <c r="H25" s="248"/>
      <c r="I25" s="248"/>
      <c r="J25" s="248"/>
      <c r="K25" s="201"/>
      <c r="L25" s="248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48"/>
      <c r="AE25" s="248"/>
      <c r="AF25" s="201" t="s">
        <v>122</v>
      </c>
    </row>
    <row r="26" spans="1:32" ht="12.9" x14ac:dyDescent="0.35">
      <c r="A26" s="173" t="s">
        <v>150</v>
      </c>
      <c r="B26" s="246">
        <v>87</v>
      </c>
      <c r="C26" s="173" t="s">
        <v>36</v>
      </c>
      <c r="D26" s="201">
        <v>2</v>
      </c>
      <c r="E26" s="248" t="s">
        <v>20</v>
      </c>
      <c r="F26" s="201">
        <v>4</v>
      </c>
      <c r="G26" s="248"/>
      <c r="H26" s="248"/>
      <c r="I26" s="248"/>
      <c r="J26" s="248"/>
      <c r="K26" s="201"/>
      <c r="L26" s="248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48"/>
      <c r="AE26" s="248"/>
      <c r="AF26" s="201" t="s">
        <v>122</v>
      </c>
    </row>
    <row r="27" spans="1:32" ht="12" x14ac:dyDescent="0.35">
      <c r="B27" s="180"/>
      <c r="C27" s="78" t="s">
        <v>9</v>
      </c>
      <c r="D27" s="202">
        <f>SUM(D2:D26)</f>
        <v>32</v>
      </c>
      <c r="E27" s="202">
        <f t="shared" ref="E27:AE27" si="0">SUM(E2:E26)</f>
        <v>0</v>
      </c>
      <c r="F27" s="202">
        <f t="shared" si="0"/>
        <v>125</v>
      </c>
      <c r="G27" s="202">
        <f t="shared" si="0"/>
        <v>3</v>
      </c>
      <c r="H27" s="202">
        <f t="shared" si="0"/>
        <v>1</v>
      </c>
      <c r="I27" s="202">
        <f t="shared" si="0"/>
        <v>0</v>
      </c>
      <c r="J27" s="202">
        <f t="shared" si="0"/>
        <v>18</v>
      </c>
      <c r="K27" s="202">
        <f t="shared" si="0"/>
        <v>2</v>
      </c>
      <c r="L27" s="202">
        <f t="shared" si="0"/>
        <v>5</v>
      </c>
      <c r="M27" s="202">
        <f t="shared" si="0"/>
        <v>0</v>
      </c>
      <c r="N27" s="202">
        <f t="shared" si="0"/>
        <v>0</v>
      </c>
      <c r="O27" s="202">
        <f t="shared" si="0"/>
        <v>1</v>
      </c>
      <c r="P27" s="202">
        <f t="shared" si="0"/>
        <v>0</v>
      </c>
      <c r="Q27" s="202">
        <f t="shared" si="0"/>
        <v>0</v>
      </c>
      <c r="R27" s="202">
        <f t="shared" si="0"/>
        <v>0</v>
      </c>
      <c r="S27" s="202">
        <f t="shared" si="0"/>
        <v>1</v>
      </c>
      <c r="T27" s="202">
        <f t="shared" si="0"/>
        <v>0</v>
      </c>
      <c r="U27" s="202">
        <f t="shared" si="0"/>
        <v>0</v>
      </c>
      <c r="V27" s="202">
        <f t="shared" si="0"/>
        <v>1</v>
      </c>
      <c r="W27" s="202">
        <f t="shared" si="0"/>
        <v>0</v>
      </c>
      <c r="X27" s="202">
        <f t="shared" si="0"/>
        <v>2</v>
      </c>
      <c r="Y27" s="202">
        <f t="shared" si="0"/>
        <v>0</v>
      </c>
      <c r="Z27" s="202">
        <f t="shared" si="0"/>
        <v>0</v>
      </c>
      <c r="AA27" s="202">
        <f t="shared" si="0"/>
        <v>0</v>
      </c>
      <c r="AB27" s="202">
        <f t="shared" si="0"/>
        <v>0</v>
      </c>
      <c r="AC27" s="202">
        <f t="shared" si="0"/>
        <v>0</v>
      </c>
      <c r="AD27" s="202">
        <f t="shared" si="0"/>
        <v>0</v>
      </c>
      <c r="AE27" s="202">
        <f t="shared" si="0"/>
        <v>0</v>
      </c>
      <c r="AF27" s="202">
        <f>SUM(D27:AE27)</f>
        <v>191</v>
      </c>
    </row>
    <row r="28" spans="1:32" ht="12" x14ac:dyDescent="0.35">
      <c r="F28" s="202"/>
      <c r="G28" s="201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</row>
    <row r="29" spans="1:32" ht="12" x14ac:dyDescent="0.35">
      <c r="F29" s="202"/>
      <c r="G29" s="201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59999389629810485"/>
  </sheetPr>
  <dimension ref="A1:AH29"/>
  <sheetViews>
    <sheetView topLeftCell="C1" zoomScale="80" zoomScaleNormal="80" workbookViewId="0">
      <pane ySplit="1" topLeftCell="A2" activePane="bottomLeft" state="frozen"/>
      <selection activeCell="E1" sqref="E1"/>
      <selection pane="bottomLeft" activeCell="W21" sqref="W21"/>
    </sheetView>
  </sheetViews>
  <sheetFormatPr defaultColWidth="8.765625" defaultRowHeight="11.6" x14ac:dyDescent="0.3"/>
  <cols>
    <col min="1" max="1" width="8.765625" style="78"/>
    <col min="2" max="3" width="7.4609375" style="78" customWidth="1"/>
    <col min="4" max="4" width="8.765625" style="180"/>
    <col min="5" max="5" width="14.3046875" style="78" customWidth="1"/>
    <col min="6" max="6" width="5.3046875" style="78" customWidth="1"/>
    <col min="7" max="7" width="5.3046875" style="180" customWidth="1"/>
    <col min="8" max="33" width="5.3046875" style="78" customWidth="1"/>
    <col min="34" max="34" width="5.07421875" style="78" customWidth="1"/>
    <col min="35" max="16384" width="8.765625" style="78"/>
  </cols>
  <sheetData>
    <row r="1" spans="1:34" ht="114" customHeight="1" x14ac:dyDescent="0.35">
      <c r="A1" s="173" t="s">
        <v>115</v>
      </c>
      <c r="B1" s="173" t="s">
        <v>98</v>
      </c>
      <c r="C1" s="173" t="s">
        <v>117</v>
      </c>
      <c r="D1" s="210" t="s">
        <v>0</v>
      </c>
      <c r="E1" s="173" t="s">
        <v>25</v>
      </c>
      <c r="F1" s="179" t="s">
        <v>5</v>
      </c>
      <c r="G1" s="179" t="s">
        <v>6</v>
      </c>
      <c r="H1" s="179" t="s">
        <v>1</v>
      </c>
      <c r="I1" s="179" t="s">
        <v>7</v>
      </c>
      <c r="J1" s="179" t="s">
        <v>4</v>
      </c>
      <c r="K1" s="179" t="s">
        <v>3</v>
      </c>
      <c r="L1" s="179" t="s">
        <v>2</v>
      </c>
      <c r="M1" s="179" t="s">
        <v>118</v>
      </c>
      <c r="N1" s="179" t="s">
        <v>86</v>
      </c>
      <c r="O1" s="179" t="s">
        <v>88</v>
      </c>
      <c r="P1" s="179" t="s">
        <v>96</v>
      </c>
      <c r="Q1" s="179" t="s">
        <v>22</v>
      </c>
      <c r="R1" s="179" t="s">
        <v>94</v>
      </c>
      <c r="S1" s="179" t="s">
        <v>57</v>
      </c>
      <c r="T1" s="179" t="s">
        <v>54</v>
      </c>
      <c r="U1" s="179" t="s">
        <v>119</v>
      </c>
      <c r="V1" s="179" t="s">
        <v>56</v>
      </c>
      <c r="W1" s="179" t="s">
        <v>53</v>
      </c>
      <c r="X1" s="179" t="s">
        <v>156</v>
      </c>
      <c r="Y1" s="179" t="s">
        <v>17</v>
      </c>
      <c r="Z1" s="179" t="s">
        <v>93</v>
      </c>
      <c r="AA1" s="179" t="s">
        <v>120</v>
      </c>
      <c r="AB1" s="179" t="s">
        <v>8</v>
      </c>
      <c r="AC1" s="179" t="s">
        <v>157</v>
      </c>
      <c r="AD1" s="179" t="s">
        <v>23</v>
      </c>
      <c r="AE1" s="179" t="s">
        <v>49</v>
      </c>
      <c r="AF1" s="179" t="s">
        <v>121</v>
      </c>
      <c r="AG1" s="179" t="s">
        <v>151</v>
      </c>
      <c r="AH1" s="179" t="s">
        <v>13</v>
      </c>
    </row>
    <row r="2" spans="1:34" ht="25.75" x14ac:dyDescent="0.35">
      <c r="A2" s="173">
        <v>2012</v>
      </c>
      <c r="B2" s="173" t="s">
        <v>99</v>
      </c>
      <c r="C2" s="173" t="s">
        <v>125</v>
      </c>
      <c r="D2" s="210">
        <v>30</v>
      </c>
      <c r="E2" s="198" t="s">
        <v>89</v>
      </c>
      <c r="F2" s="200"/>
      <c r="G2" s="178"/>
      <c r="H2" s="200"/>
      <c r="I2" s="178"/>
      <c r="J2" s="178"/>
      <c r="K2" s="178"/>
      <c r="L2" s="178"/>
      <c r="M2" s="200"/>
      <c r="N2" s="178"/>
      <c r="O2" s="200"/>
      <c r="P2" s="200"/>
      <c r="Q2" s="178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178"/>
      <c r="AG2" s="178"/>
      <c r="AH2" s="200" t="s">
        <v>122</v>
      </c>
    </row>
    <row r="3" spans="1:34" ht="12.9" x14ac:dyDescent="0.35">
      <c r="A3" s="173">
        <v>2012</v>
      </c>
      <c r="B3" s="173" t="s">
        <v>99</v>
      </c>
      <c r="C3" s="173" t="s">
        <v>126</v>
      </c>
      <c r="D3" s="210">
        <v>38</v>
      </c>
      <c r="E3" s="199" t="s">
        <v>43</v>
      </c>
      <c r="F3" s="200"/>
      <c r="G3" s="178"/>
      <c r="H3" s="200"/>
      <c r="I3" s="200"/>
      <c r="J3" s="200">
        <v>1</v>
      </c>
      <c r="K3" s="178"/>
      <c r="L3" s="200">
        <v>1</v>
      </c>
      <c r="M3" s="200"/>
      <c r="N3" s="178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178"/>
      <c r="AG3" s="178"/>
      <c r="AH3" s="200" t="s">
        <v>122</v>
      </c>
    </row>
    <row r="4" spans="1:34" ht="12.9" x14ac:dyDescent="0.35">
      <c r="A4" s="173">
        <v>2012</v>
      </c>
      <c r="B4" s="173" t="s">
        <v>99</v>
      </c>
      <c r="C4" s="173" t="s">
        <v>127</v>
      </c>
      <c r="D4" s="210">
        <v>58</v>
      </c>
      <c r="E4" s="199" t="s">
        <v>44</v>
      </c>
      <c r="F4" s="200"/>
      <c r="G4" s="200"/>
      <c r="H4" s="200"/>
      <c r="I4" s="178"/>
      <c r="J4" s="200"/>
      <c r="K4" s="178"/>
      <c r="L4" s="178"/>
      <c r="M4" s="200"/>
      <c r="N4" s="178"/>
      <c r="O4" s="200"/>
      <c r="P4" s="200"/>
      <c r="Q4" s="178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178"/>
      <c r="AG4" s="178"/>
      <c r="AH4" s="200" t="s">
        <v>122</v>
      </c>
    </row>
    <row r="5" spans="1:34" ht="12.9" x14ac:dyDescent="0.35">
      <c r="A5" s="173">
        <v>2012</v>
      </c>
      <c r="B5" s="173" t="s">
        <v>99</v>
      </c>
      <c r="C5" s="173" t="s">
        <v>128</v>
      </c>
      <c r="D5" s="210">
        <v>61</v>
      </c>
      <c r="E5" s="199" t="s">
        <v>45</v>
      </c>
      <c r="F5" s="200"/>
      <c r="G5" s="178"/>
      <c r="H5" s="200">
        <v>1</v>
      </c>
      <c r="I5" s="178"/>
      <c r="J5" s="178"/>
      <c r="K5" s="178"/>
      <c r="L5" s="200">
        <v>1</v>
      </c>
      <c r="M5" s="200"/>
      <c r="N5" s="178"/>
      <c r="O5" s="200"/>
      <c r="P5" s="200"/>
      <c r="Q5" s="178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178"/>
      <c r="AG5" s="178"/>
      <c r="AH5" s="200" t="s">
        <v>122</v>
      </c>
    </row>
    <row r="6" spans="1:34" ht="12.9" x14ac:dyDescent="0.35">
      <c r="A6" s="173">
        <v>2012</v>
      </c>
      <c r="B6" s="173" t="s">
        <v>99</v>
      </c>
      <c r="C6" s="173" t="s">
        <v>129</v>
      </c>
      <c r="D6" s="210">
        <v>62</v>
      </c>
      <c r="E6" s="199" t="s">
        <v>130</v>
      </c>
      <c r="F6" s="200"/>
      <c r="G6" s="200"/>
      <c r="H6" s="200"/>
      <c r="I6" s="200"/>
      <c r="J6" s="200">
        <v>1</v>
      </c>
      <c r="K6" s="178"/>
      <c r="L6" s="178"/>
      <c r="M6" s="200"/>
      <c r="N6" s="178"/>
      <c r="O6" s="200"/>
      <c r="P6" s="200"/>
      <c r="Q6" s="178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178"/>
      <c r="AG6" s="178"/>
      <c r="AH6" s="200" t="s">
        <v>122</v>
      </c>
    </row>
    <row r="7" spans="1:34" ht="12.9" x14ac:dyDescent="0.35">
      <c r="A7" s="173">
        <v>2012</v>
      </c>
      <c r="B7" s="173" t="s">
        <v>99</v>
      </c>
      <c r="C7" s="173" t="s">
        <v>131</v>
      </c>
      <c r="D7" s="210">
        <v>65</v>
      </c>
      <c r="E7" s="199" t="s">
        <v>47</v>
      </c>
      <c r="F7" s="200"/>
      <c r="G7" s="178"/>
      <c r="H7" s="200"/>
      <c r="I7" s="200"/>
      <c r="J7" s="178"/>
      <c r="K7" s="178"/>
      <c r="L7" s="178"/>
      <c r="M7" s="200"/>
      <c r="N7" s="178"/>
      <c r="O7" s="200"/>
      <c r="P7" s="200"/>
      <c r="Q7" s="178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178"/>
      <c r="AG7" s="178"/>
      <c r="AH7" s="200" t="s">
        <v>122</v>
      </c>
    </row>
    <row r="8" spans="1:34" ht="12.9" x14ac:dyDescent="0.35">
      <c r="A8" s="173">
        <v>2012</v>
      </c>
      <c r="B8" s="173" t="s">
        <v>100</v>
      </c>
      <c r="C8" s="173" t="s">
        <v>132</v>
      </c>
      <c r="D8" s="210">
        <v>66</v>
      </c>
      <c r="E8" s="199" t="s">
        <v>52</v>
      </c>
      <c r="F8" s="200"/>
      <c r="G8" s="178"/>
      <c r="H8" s="200"/>
      <c r="I8" s="200"/>
      <c r="J8" s="200"/>
      <c r="K8" s="178"/>
      <c r="L8" s="178"/>
      <c r="M8" s="200"/>
      <c r="N8" s="178"/>
      <c r="O8" s="200"/>
      <c r="P8" s="200"/>
      <c r="Q8" s="178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>
        <v>1</v>
      </c>
      <c r="AD8" s="200"/>
      <c r="AE8" s="200"/>
      <c r="AF8" s="178"/>
      <c r="AG8" s="178"/>
      <c r="AH8" s="200" t="s">
        <v>122</v>
      </c>
    </row>
    <row r="9" spans="1:34" ht="12.9" x14ac:dyDescent="0.35">
      <c r="A9" s="173">
        <v>2012</v>
      </c>
      <c r="B9" s="173" t="s">
        <v>100</v>
      </c>
      <c r="C9" s="173" t="s">
        <v>133</v>
      </c>
      <c r="D9" s="210">
        <v>69</v>
      </c>
      <c r="E9" s="199" t="s">
        <v>33</v>
      </c>
      <c r="F9" s="200"/>
      <c r="G9" s="178"/>
      <c r="H9" s="200">
        <v>2</v>
      </c>
      <c r="I9" s="178"/>
      <c r="J9" s="178"/>
      <c r="K9" s="178"/>
      <c r="L9" s="178"/>
      <c r="M9" s="200"/>
      <c r="N9" s="178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>
        <v>1</v>
      </c>
      <c r="AA9" s="200"/>
      <c r="AB9" s="200"/>
      <c r="AC9" s="200"/>
      <c r="AD9" s="200"/>
      <c r="AE9" s="200"/>
      <c r="AF9" s="178"/>
      <c r="AG9" s="178"/>
      <c r="AH9" s="200" t="s">
        <v>122</v>
      </c>
    </row>
    <row r="10" spans="1:34" ht="12.9" x14ac:dyDescent="0.35">
      <c r="A10" s="173">
        <v>2012</v>
      </c>
      <c r="B10" s="173" t="s">
        <v>99</v>
      </c>
      <c r="C10" s="173" t="s">
        <v>134</v>
      </c>
      <c r="D10" s="210">
        <v>70</v>
      </c>
      <c r="E10" s="199" t="s">
        <v>27</v>
      </c>
      <c r="F10" s="200"/>
      <c r="G10" s="178"/>
      <c r="H10" s="200"/>
      <c r="I10" s="178"/>
      <c r="J10" s="178"/>
      <c r="K10" s="200"/>
      <c r="L10" s="178"/>
      <c r="M10" s="200"/>
      <c r="N10" s="178"/>
      <c r="O10" s="200"/>
      <c r="P10" s="200"/>
      <c r="Q10" s="178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178"/>
      <c r="AG10" s="178"/>
      <c r="AH10" s="200" t="s">
        <v>122</v>
      </c>
    </row>
    <row r="11" spans="1:34" ht="12.9" x14ac:dyDescent="0.35">
      <c r="A11" s="173"/>
      <c r="B11" s="173"/>
      <c r="C11" s="173" t="s">
        <v>135</v>
      </c>
      <c r="D11" s="210">
        <v>71</v>
      </c>
      <c r="E11" s="199" t="s">
        <v>28</v>
      </c>
      <c r="F11" s="200"/>
      <c r="G11" s="200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0" t="s">
        <v>122</v>
      </c>
    </row>
    <row r="12" spans="1:34" ht="12.9" x14ac:dyDescent="0.35">
      <c r="A12" s="173">
        <v>2012</v>
      </c>
      <c r="B12" s="173" t="s">
        <v>100</v>
      </c>
      <c r="C12" s="173" t="s">
        <v>136</v>
      </c>
      <c r="D12" s="210">
        <v>72</v>
      </c>
      <c r="E12" s="199" t="s">
        <v>34</v>
      </c>
      <c r="F12" s="200"/>
      <c r="G12" s="178"/>
      <c r="H12" s="200"/>
      <c r="I12" s="178"/>
      <c r="J12" s="178"/>
      <c r="K12" s="178"/>
      <c r="L12" s="178"/>
      <c r="M12" s="200"/>
      <c r="N12" s="178"/>
      <c r="O12" s="200"/>
      <c r="P12" s="200"/>
      <c r="Q12" s="178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178"/>
      <c r="AG12" s="178"/>
      <c r="AH12" s="200" t="s">
        <v>122</v>
      </c>
    </row>
    <row r="13" spans="1:34" ht="18" customHeight="1" x14ac:dyDescent="0.35">
      <c r="A13" s="173">
        <v>2012</v>
      </c>
      <c r="B13" s="173" t="s">
        <v>100</v>
      </c>
      <c r="C13" s="173" t="s">
        <v>137</v>
      </c>
      <c r="D13" s="210">
        <v>73</v>
      </c>
      <c r="E13" s="199" t="s">
        <v>50</v>
      </c>
      <c r="F13" s="200"/>
      <c r="G13" s="178"/>
      <c r="H13" s="200"/>
      <c r="I13" s="178"/>
      <c r="J13" s="178"/>
      <c r="K13" s="178"/>
      <c r="L13" s="178"/>
      <c r="M13" s="200"/>
      <c r="N13" s="178"/>
      <c r="O13" s="200"/>
      <c r="P13" s="200"/>
      <c r="Q13" s="178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178"/>
      <c r="AG13" s="178"/>
      <c r="AH13" s="200" t="s">
        <v>122</v>
      </c>
    </row>
    <row r="14" spans="1:34" ht="12.9" x14ac:dyDescent="0.35">
      <c r="A14" s="173">
        <v>2012</v>
      </c>
      <c r="B14" s="173" t="s">
        <v>100</v>
      </c>
      <c r="C14" s="173" t="s">
        <v>138</v>
      </c>
      <c r="D14" s="210">
        <v>74</v>
      </c>
      <c r="E14" s="199" t="s">
        <v>37</v>
      </c>
      <c r="F14" s="200"/>
      <c r="G14" s="178"/>
      <c r="H14" s="200"/>
      <c r="I14" s="178"/>
      <c r="J14" s="178"/>
      <c r="K14" s="178"/>
      <c r="L14" s="178"/>
      <c r="M14" s="200"/>
      <c r="N14" s="178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178"/>
      <c r="AG14" s="178"/>
      <c r="AH14" s="200" t="s">
        <v>122</v>
      </c>
    </row>
    <row r="15" spans="1:34" ht="12.9" x14ac:dyDescent="0.35">
      <c r="A15" s="173">
        <v>2012</v>
      </c>
      <c r="B15" s="173" t="s">
        <v>100</v>
      </c>
      <c r="C15" s="173" t="s">
        <v>139</v>
      </c>
      <c r="D15" s="210">
        <v>75</v>
      </c>
      <c r="E15" s="199" t="s">
        <v>38</v>
      </c>
      <c r="F15" s="200"/>
      <c r="G15" s="178"/>
      <c r="H15" s="200"/>
      <c r="I15" s="178"/>
      <c r="J15" s="178"/>
      <c r="K15" s="178"/>
      <c r="L15" s="178">
        <v>1</v>
      </c>
      <c r="M15" s="200"/>
      <c r="N15" s="200"/>
      <c r="O15" s="200"/>
      <c r="P15" s="200"/>
      <c r="Q15" s="178"/>
      <c r="R15" s="200"/>
      <c r="S15" s="200"/>
      <c r="T15" s="200"/>
      <c r="U15" s="200"/>
      <c r="V15" s="200"/>
      <c r="W15" s="200"/>
      <c r="X15" s="200">
        <v>1</v>
      </c>
      <c r="Y15" s="200"/>
      <c r="Z15" s="200"/>
      <c r="AA15" s="200"/>
      <c r="AB15" s="200"/>
      <c r="AC15" s="200"/>
      <c r="AD15" s="200"/>
      <c r="AE15" s="200"/>
      <c r="AF15" s="178"/>
      <c r="AG15" s="178"/>
      <c r="AH15" s="200" t="s">
        <v>122</v>
      </c>
    </row>
    <row r="16" spans="1:34" ht="12.9" x14ac:dyDescent="0.35">
      <c r="A16" s="173">
        <v>2012</v>
      </c>
      <c r="B16" s="173" t="s">
        <v>100</v>
      </c>
      <c r="C16" s="173" t="s">
        <v>140</v>
      </c>
      <c r="D16" s="210">
        <v>76</v>
      </c>
      <c r="E16" s="199" t="s">
        <v>39</v>
      </c>
      <c r="F16" s="200"/>
      <c r="G16" s="178"/>
      <c r="H16" s="200"/>
      <c r="I16" s="178"/>
      <c r="J16" s="178"/>
      <c r="K16" s="178"/>
      <c r="L16" s="178"/>
      <c r="M16" s="200"/>
      <c r="N16" s="178"/>
      <c r="O16" s="200"/>
      <c r="P16" s="200"/>
      <c r="Q16" s="178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178"/>
      <c r="AG16" s="178"/>
      <c r="AH16" s="200" t="s">
        <v>122</v>
      </c>
    </row>
    <row r="17" spans="1:34" ht="12.9" x14ac:dyDescent="0.35">
      <c r="A17" s="173">
        <v>2012</v>
      </c>
      <c r="B17" s="173" t="s">
        <v>100</v>
      </c>
      <c r="C17" s="173" t="s">
        <v>141</v>
      </c>
      <c r="D17" s="210">
        <v>78</v>
      </c>
      <c r="E17" s="199" t="s">
        <v>40</v>
      </c>
      <c r="F17" s="200"/>
      <c r="G17" s="178"/>
      <c r="H17" s="200"/>
      <c r="I17" s="178"/>
      <c r="J17" s="200"/>
      <c r="K17" s="178"/>
      <c r="L17" s="178"/>
      <c r="M17" s="200"/>
      <c r="N17" s="178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178"/>
      <c r="AG17" s="178"/>
      <c r="AH17" s="200" t="s">
        <v>122</v>
      </c>
    </row>
    <row r="18" spans="1:34" ht="12.9" x14ac:dyDescent="0.35">
      <c r="A18" s="173">
        <v>2012</v>
      </c>
      <c r="B18" s="173" t="s">
        <v>99</v>
      </c>
      <c r="C18" s="173" t="s">
        <v>142</v>
      </c>
      <c r="D18" s="210">
        <v>79</v>
      </c>
      <c r="E18" s="199" t="s">
        <v>29</v>
      </c>
      <c r="F18" s="200"/>
      <c r="G18" s="178"/>
      <c r="H18" s="200"/>
      <c r="I18" s="178"/>
      <c r="J18" s="178"/>
      <c r="K18" s="178"/>
      <c r="L18" s="178"/>
      <c r="M18" s="200"/>
      <c r="N18" s="178"/>
      <c r="O18" s="200"/>
      <c r="P18" s="200"/>
      <c r="Q18" s="178"/>
      <c r="R18" s="200"/>
      <c r="S18" s="200"/>
      <c r="T18" s="200"/>
      <c r="U18" s="200"/>
      <c r="V18" s="200">
        <v>1</v>
      </c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 t="s">
        <v>122</v>
      </c>
    </row>
    <row r="19" spans="1:34" ht="12.9" x14ac:dyDescent="0.35">
      <c r="A19" s="173">
        <v>2012</v>
      </c>
      <c r="B19" s="173" t="s">
        <v>99</v>
      </c>
      <c r="C19" s="173" t="s">
        <v>143</v>
      </c>
      <c r="D19" s="210">
        <v>80</v>
      </c>
      <c r="E19" s="199" t="s">
        <v>30</v>
      </c>
      <c r="F19" s="200"/>
      <c r="G19" s="178"/>
      <c r="H19" s="200"/>
      <c r="I19" s="178"/>
      <c r="J19" s="178"/>
      <c r="K19" s="178"/>
      <c r="L19" s="178"/>
      <c r="M19" s="200"/>
      <c r="N19" s="178"/>
      <c r="O19" s="200"/>
      <c r="P19" s="200"/>
      <c r="Q19" s="178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>
        <v>1</v>
      </c>
      <c r="AC19" s="200"/>
      <c r="AD19" s="200"/>
      <c r="AE19" s="200"/>
      <c r="AF19" s="178"/>
      <c r="AG19" s="178"/>
      <c r="AH19" s="200" t="s">
        <v>122</v>
      </c>
    </row>
    <row r="20" spans="1:34" ht="12.9" x14ac:dyDescent="0.35">
      <c r="A20" s="173">
        <v>2012</v>
      </c>
      <c r="B20" s="173" t="s">
        <v>99</v>
      </c>
      <c r="C20" s="173" t="s">
        <v>144</v>
      </c>
      <c r="D20" s="210">
        <v>81</v>
      </c>
      <c r="E20" s="199" t="s">
        <v>31</v>
      </c>
      <c r="F20" s="200"/>
      <c r="G20" s="201"/>
      <c r="H20" s="202"/>
      <c r="I20" s="202"/>
      <c r="J20" s="178"/>
      <c r="K20" s="178"/>
      <c r="L20" s="178"/>
      <c r="M20" s="200"/>
      <c r="N20" s="178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178"/>
      <c r="AG20" s="178"/>
      <c r="AH20" s="200" t="s">
        <v>122</v>
      </c>
    </row>
    <row r="21" spans="1:34" ht="12.9" x14ac:dyDescent="0.35">
      <c r="A21" s="173">
        <v>2012</v>
      </c>
      <c r="B21" s="173" t="s">
        <v>99</v>
      </c>
      <c r="C21" s="173" t="s">
        <v>145</v>
      </c>
      <c r="D21" s="210">
        <v>82</v>
      </c>
      <c r="E21" s="199" t="s">
        <v>32</v>
      </c>
      <c r="F21" s="200"/>
      <c r="G21" s="178"/>
      <c r="H21" s="200"/>
      <c r="I21" s="178">
        <v>1</v>
      </c>
      <c r="J21" s="178"/>
      <c r="K21" s="178"/>
      <c r="L21" s="200"/>
      <c r="M21" s="200"/>
      <c r="N21" s="178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178"/>
      <c r="AG21" s="178"/>
      <c r="AH21" s="200" t="s">
        <v>122</v>
      </c>
    </row>
    <row r="22" spans="1:34" ht="12.9" x14ac:dyDescent="0.35">
      <c r="A22" s="173">
        <v>2012</v>
      </c>
      <c r="B22" s="173" t="s">
        <v>100</v>
      </c>
      <c r="C22" s="173" t="s">
        <v>146</v>
      </c>
      <c r="D22" s="210">
        <v>83</v>
      </c>
      <c r="E22" s="199" t="s">
        <v>26</v>
      </c>
      <c r="F22" s="200"/>
      <c r="G22" s="178"/>
      <c r="H22" s="200"/>
      <c r="I22" s="178"/>
      <c r="J22" s="178"/>
      <c r="K22" s="178"/>
      <c r="L22" s="200"/>
      <c r="M22" s="200"/>
      <c r="N22" s="178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178"/>
      <c r="AG22" s="178"/>
      <c r="AH22" s="200" t="s">
        <v>122</v>
      </c>
    </row>
    <row r="23" spans="1:34" ht="12.9" x14ac:dyDescent="0.35">
      <c r="A23" s="173">
        <v>2012</v>
      </c>
      <c r="B23" s="173" t="s">
        <v>100</v>
      </c>
      <c r="C23" s="173" t="s">
        <v>147</v>
      </c>
      <c r="D23" s="210">
        <v>84</v>
      </c>
      <c r="E23" s="199" t="s">
        <v>41</v>
      </c>
      <c r="F23" s="200"/>
      <c r="G23" s="178"/>
      <c r="H23" s="200"/>
      <c r="I23" s="178"/>
      <c r="J23" s="178"/>
      <c r="K23" s="178"/>
      <c r="L23" s="178"/>
      <c r="M23" s="200"/>
      <c r="N23" s="178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178"/>
      <c r="AG23" s="178"/>
      <c r="AH23" s="200" t="s">
        <v>122</v>
      </c>
    </row>
    <row r="24" spans="1:34" ht="12.9" x14ac:dyDescent="0.35">
      <c r="A24" s="173">
        <v>2012</v>
      </c>
      <c r="B24" s="173" t="s">
        <v>100</v>
      </c>
      <c r="C24" s="173" t="s">
        <v>148</v>
      </c>
      <c r="D24" s="210">
        <v>85</v>
      </c>
      <c r="E24" s="199" t="s">
        <v>48</v>
      </c>
      <c r="F24" s="200"/>
      <c r="G24" s="178"/>
      <c r="H24" s="200">
        <v>2</v>
      </c>
      <c r="I24" s="178"/>
      <c r="J24" s="178"/>
      <c r="K24" s="178"/>
      <c r="L24" s="200"/>
      <c r="M24" s="200"/>
      <c r="N24" s="178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178"/>
      <c r="AG24" s="178"/>
      <c r="AH24" s="200" t="s">
        <v>122</v>
      </c>
    </row>
    <row r="25" spans="1:34" ht="12.9" x14ac:dyDescent="0.35">
      <c r="A25" s="173">
        <v>2012</v>
      </c>
      <c r="B25" s="173" t="s">
        <v>100</v>
      </c>
      <c r="C25" s="173" t="s">
        <v>149</v>
      </c>
      <c r="D25" s="210">
        <v>86</v>
      </c>
      <c r="E25" s="199" t="s">
        <v>35</v>
      </c>
      <c r="F25" s="200"/>
      <c r="G25" s="178"/>
      <c r="H25" s="200">
        <v>2</v>
      </c>
      <c r="I25" s="178"/>
      <c r="J25" s="178"/>
      <c r="K25" s="178"/>
      <c r="L25" s="178"/>
      <c r="M25" s="200"/>
      <c r="N25" s="178"/>
      <c r="O25" s="200"/>
      <c r="P25" s="200"/>
      <c r="Q25" s="200"/>
      <c r="R25" s="200"/>
      <c r="S25" s="200"/>
      <c r="T25" s="200"/>
      <c r="U25" s="200"/>
      <c r="V25" s="200"/>
      <c r="W25" s="200"/>
      <c r="X25" s="200">
        <v>1</v>
      </c>
      <c r="Y25" s="200"/>
      <c r="Z25" s="200"/>
      <c r="AA25" s="200"/>
      <c r="AB25" s="200"/>
      <c r="AC25" s="200"/>
      <c r="AD25" s="200"/>
      <c r="AE25" s="200"/>
      <c r="AF25" s="178"/>
      <c r="AG25" s="178"/>
      <c r="AH25" s="200" t="s">
        <v>122</v>
      </c>
    </row>
    <row r="26" spans="1:34" ht="12.9" x14ac:dyDescent="0.35">
      <c r="A26" s="173">
        <v>2012</v>
      </c>
      <c r="B26" s="173" t="s">
        <v>100</v>
      </c>
      <c r="C26" s="173" t="s">
        <v>150</v>
      </c>
      <c r="D26" s="210">
        <v>87</v>
      </c>
      <c r="E26" s="199" t="s">
        <v>36</v>
      </c>
      <c r="F26" s="200"/>
      <c r="G26" s="178"/>
      <c r="H26" s="200">
        <v>3</v>
      </c>
      <c r="I26" s="178"/>
      <c r="J26" s="178"/>
      <c r="K26" s="178"/>
      <c r="L26" s="178"/>
      <c r="M26" s="200"/>
      <c r="N26" s="178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178"/>
      <c r="AG26" s="178"/>
      <c r="AH26" s="200" t="s">
        <v>122</v>
      </c>
    </row>
    <row r="27" spans="1:34" ht="12" x14ac:dyDescent="0.35">
      <c r="E27" s="78" t="s">
        <v>9</v>
      </c>
      <c r="F27" s="202">
        <f>SUM(F2:F26)</f>
        <v>0</v>
      </c>
      <c r="G27" s="202">
        <f t="shared" ref="G27:AG27" si="0">SUM(G2:G26)</f>
        <v>0</v>
      </c>
      <c r="H27" s="202">
        <f t="shared" si="0"/>
        <v>10</v>
      </c>
      <c r="I27" s="202">
        <f t="shared" si="0"/>
        <v>1</v>
      </c>
      <c r="J27" s="202">
        <f t="shared" si="0"/>
        <v>2</v>
      </c>
      <c r="K27" s="202">
        <f t="shared" si="0"/>
        <v>0</v>
      </c>
      <c r="L27" s="202">
        <f t="shared" si="0"/>
        <v>3</v>
      </c>
      <c r="M27" s="202">
        <f t="shared" si="0"/>
        <v>0</v>
      </c>
      <c r="N27" s="202">
        <f t="shared" si="0"/>
        <v>0</v>
      </c>
      <c r="O27" s="202">
        <f t="shared" si="0"/>
        <v>0</v>
      </c>
      <c r="P27" s="202">
        <f t="shared" si="0"/>
        <v>0</v>
      </c>
      <c r="Q27" s="202">
        <f t="shared" si="0"/>
        <v>0</v>
      </c>
      <c r="R27" s="202">
        <f t="shared" si="0"/>
        <v>0</v>
      </c>
      <c r="S27" s="202">
        <f t="shared" si="0"/>
        <v>0</v>
      </c>
      <c r="T27" s="202">
        <f t="shared" si="0"/>
        <v>0</v>
      </c>
      <c r="U27" s="202">
        <f t="shared" si="0"/>
        <v>0</v>
      </c>
      <c r="V27" s="202">
        <f t="shared" si="0"/>
        <v>1</v>
      </c>
      <c r="W27" s="202">
        <f t="shared" si="0"/>
        <v>0</v>
      </c>
      <c r="X27" s="202">
        <f t="shared" si="0"/>
        <v>2</v>
      </c>
      <c r="Y27" s="202">
        <f t="shared" si="0"/>
        <v>0</v>
      </c>
      <c r="Z27" s="202">
        <f t="shared" si="0"/>
        <v>1</v>
      </c>
      <c r="AA27" s="202">
        <f t="shared" si="0"/>
        <v>0</v>
      </c>
      <c r="AB27" s="202">
        <f t="shared" si="0"/>
        <v>1</v>
      </c>
      <c r="AC27" s="202">
        <f t="shared" si="0"/>
        <v>1</v>
      </c>
      <c r="AD27" s="202">
        <f t="shared" si="0"/>
        <v>0</v>
      </c>
      <c r="AE27" s="202">
        <f t="shared" si="0"/>
        <v>0</v>
      </c>
      <c r="AF27" s="202">
        <f t="shared" si="0"/>
        <v>0</v>
      </c>
      <c r="AG27" s="202">
        <f t="shared" si="0"/>
        <v>0</v>
      </c>
      <c r="AH27" s="202"/>
    </row>
    <row r="28" spans="1:34" ht="12" x14ac:dyDescent="0.35">
      <c r="F28" s="202"/>
      <c r="G28" s="201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</row>
    <row r="29" spans="1:34" ht="12" x14ac:dyDescent="0.35">
      <c r="F29" s="202"/>
      <c r="G29" s="201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59999389629810485"/>
  </sheetPr>
  <dimension ref="A1:AG29"/>
  <sheetViews>
    <sheetView topLeftCell="C1" zoomScale="80" zoomScaleNormal="80" workbookViewId="0">
      <pane ySplit="1" topLeftCell="A2" activePane="bottomLeft" state="frozen"/>
      <selection activeCell="E1" sqref="E1"/>
      <selection pane="bottomLeft" activeCell="E1" sqref="E1:M27"/>
    </sheetView>
  </sheetViews>
  <sheetFormatPr defaultColWidth="8.765625" defaultRowHeight="11.6" x14ac:dyDescent="0.3"/>
  <cols>
    <col min="1" max="1" width="8.765625" style="78"/>
    <col min="2" max="2" width="7.4609375" style="78" customWidth="1"/>
    <col min="3" max="3" width="8.765625" style="78"/>
    <col min="4" max="4" width="7.4609375" style="78" customWidth="1"/>
    <col min="5" max="5" width="8.765625" style="180"/>
    <col min="6" max="6" width="14.3046875" style="78" customWidth="1"/>
    <col min="7" max="7" width="5.3046875" style="78" customWidth="1"/>
    <col min="8" max="8" width="5.3046875" style="180" customWidth="1"/>
    <col min="9" max="32" width="5.3046875" style="78" customWidth="1"/>
    <col min="33" max="33" width="5.07421875" style="78" customWidth="1"/>
    <col min="34" max="16384" width="8.765625" style="78"/>
  </cols>
  <sheetData>
    <row r="1" spans="1:33" ht="102" customHeight="1" x14ac:dyDescent="0.35">
      <c r="A1" s="173" t="s">
        <v>115</v>
      </c>
      <c r="B1" s="173" t="s">
        <v>98</v>
      </c>
      <c r="C1" s="173" t="s">
        <v>116</v>
      </c>
      <c r="D1" s="173" t="s">
        <v>117</v>
      </c>
      <c r="E1" s="209" t="s">
        <v>0</v>
      </c>
      <c r="F1" s="173" t="s">
        <v>25</v>
      </c>
      <c r="G1" s="179" t="s">
        <v>5</v>
      </c>
      <c r="H1" s="179" t="s">
        <v>6</v>
      </c>
      <c r="I1" s="179" t="s">
        <v>1</v>
      </c>
      <c r="J1" s="179" t="s">
        <v>7</v>
      </c>
      <c r="K1" s="179" t="s">
        <v>4</v>
      </c>
      <c r="L1" s="179" t="s">
        <v>3</v>
      </c>
      <c r="M1" s="179" t="s">
        <v>2</v>
      </c>
      <c r="N1" s="179" t="s">
        <v>118</v>
      </c>
      <c r="O1" s="179" t="s">
        <v>86</v>
      </c>
      <c r="P1" s="179" t="s">
        <v>88</v>
      </c>
      <c r="Q1" s="179" t="s">
        <v>96</v>
      </c>
      <c r="R1" s="179" t="s">
        <v>22</v>
      </c>
      <c r="S1" s="179" t="s">
        <v>94</v>
      </c>
      <c r="T1" s="179" t="s">
        <v>57</v>
      </c>
      <c r="U1" s="179" t="s">
        <v>54</v>
      </c>
      <c r="V1" s="179" t="s">
        <v>119</v>
      </c>
      <c r="W1" s="179" t="s">
        <v>56</v>
      </c>
      <c r="X1" s="179" t="s">
        <v>53</v>
      </c>
      <c r="Y1" s="179" t="s">
        <v>17</v>
      </c>
      <c r="Z1" s="179" t="s">
        <v>93</v>
      </c>
      <c r="AA1" s="179" t="s">
        <v>120</v>
      </c>
      <c r="AB1" s="179" t="s">
        <v>8</v>
      </c>
      <c r="AC1" s="179" t="s">
        <v>23</v>
      </c>
      <c r="AD1" s="179" t="s">
        <v>49</v>
      </c>
      <c r="AE1" s="179" t="s">
        <v>121</v>
      </c>
      <c r="AF1" s="179" t="s">
        <v>151</v>
      </c>
      <c r="AG1" s="179" t="s">
        <v>13</v>
      </c>
    </row>
    <row r="2" spans="1:33" ht="25.75" x14ac:dyDescent="0.35">
      <c r="A2" s="173">
        <v>2012</v>
      </c>
      <c r="B2" s="173" t="s">
        <v>99</v>
      </c>
      <c r="C2" s="173" t="s">
        <v>124</v>
      </c>
      <c r="D2" s="173" t="s">
        <v>125</v>
      </c>
      <c r="E2" s="209">
        <v>30</v>
      </c>
      <c r="F2" s="198" t="s">
        <v>89</v>
      </c>
      <c r="G2" s="200"/>
      <c r="H2" s="178"/>
      <c r="I2" s="200"/>
      <c r="J2" s="178"/>
      <c r="K2" s="178"/>
      <c r="L2" s="178"/>
      <c r="M2" s="178"/>
      <c r="N2" s="200"/>
      <c r="O2" s="178"/>
      <c r="P2" s="200"/>
      <c r="Q2" s="200"/>
      <c r="R2" s="178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178"/>
      <c r="AF2" s="178"/>
      <c r="AG2" s="200"/>
    </row>
    <row r="3" spans="1:33" ht="12.9" x14ac:dyDescent="0.35">
      <c r="A3" s="173">
        <v>2012</v>
      </c>
      <c r="B3" s="173" t="s">
        <v>99</v>
      </c>
      <c r="C3" s="173" t="s">
        <v>124</v>
      </c>
      <c r="D3" s="173" t="s">
        <v>126</v>
      </c>
      <c r="E3" s="209">
        <v>38</v>
      </c>
      <c r="F3" s="199" t="s">
        <v>43</v>
      </c>
      <c r="G3" s="200"/>
      <c r="H3" s="178"/>
      <c r="I3" s="200"/>
      <c r="J3" s="200"/>
      <c r="K3" s="200"/>
      <c r="L3" s="178"/>
      <c r="M3" s="200"/>
      <c r="N3" s="200"/>
      <c r="O3" s="178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178"/>
      <c r="AF3" s="178"/>
      <c r="AG3" s="200"/>
    </row>
    <row r="4" spans="1:33" ht="12.9" x14ac:dyDescent="0.35">
      <c r="A4" s="173">
        <v>2012</v>
      </c>
      <c r="B4" s="173" t="s">
        <v>99</v>
      </c>
      <c r="C4" s="173" t="s">
        <v>124</v>
      </c>
      <c r="D4" s="173" t="s">
        <v>127</v>
      </c>
      <c r="E4" s="209">
        <v>58</v>
      </c>
      <c r="F4" s="199" t="s">
        <v>44</v>
      </c>
      <c r="G4" s="200"/>
      <c r="H4" s="200"/>
      <c r="I4" s="200"/>
      <c r="J4" s="178"/>
      <c r="K4" s="200"/>
      <c r="L4" s="178"/>
      <c r="M4" s="178"/>
      <c r="N4" s="200"/>
      <c r="O4" s="178"/>
      <c r="P4" s="200"/>
      <c r="Q4" s="200"/>
      <c r="R4" s="178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178"/>
      <c r="AF4" s="178"/>
      <c r="AG4" s="200"/>
    </row>
    <row r="5" spans="1:33" ht="12.9" x14ac:dyDescent="0.35">
      <c r="A5" s="173">
        <v>2012</v>
      </c>
      <c r="B5" s="173" t="s">
        <v>99</v>
      </c>
      <c r="C5" s="173" t="s">
        <v>124</v>
      </c>
      <c r="D5" s="173" t="s">
        <v>128</v>
      </c>
      <c r="E5" s="209">
        <v>61</v>
      </c>
      <c r="F5" s="199" t="s">
        <v>45</v>
      </c>
      <c r="G5" s="200"/>
      <c r="H5" s="178"/>
      <c r="I5" s="200"/>
      <c r="J5" s="178"/>
      <c r="K5" s="178">
        <v>1</v>
      </c>
      <c r="L5" s="178"/>
      <c r="M5" s="200"/>
      <c r="N5" s="200"/>
      <c r="O5" s="178"/>
      <c r="P5" s="200"/>
      <c r="Q5" s="200"/>
      <c r="R5" s="178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178"/>
      <c r="AF5" s="178"/>
      <c r="AG5" s="200"/>
    </row>
    <row r="6" spans="1:33" ht="12.9" x14ac:dyDescent="0.35">
      <c r="A6" s="173">
        <v>2012</v>
      </c>
      <c r="B6" s="173" t="s">
        <v>99</v>
      </c>
      <c r="C6" s="173" t="s">
        <v>124</v>
      </c>
      <c r="D6" s="173" t="s">
        <v>129</v>
      </c>
      <c r="E6" s="209">
        <v>62</v>
      </c>
      <c r="F6" s="199" t="s">
        <v>130</v>
      </c>
      <c r="G6" s="200"/>
      <c r="H6" s="200"/>
      <c r="I6" s="200"/>
      <c r="J6" s="200">
        <v>1</v>
      </c>
      <c r="K6" s="200"/>
      <c r="L6" s="178"/>
      <c r="M6" s="178"/>
      <c r="N6" s="200"/>
      <c r="O6" s="178"/>
      <c r="P6" s="200"/>
      <c r="Q6" s="200"/>
      <c r="R6" s="178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178"/>
      <c r="AF6" s="178"/>
      <c r="AG6" s="200"/>
    </row>
    <row r="7" spans="1:33" ht="12.9" x14ac:dyDescent="0.35">
      <c r="A7" s="173">
        <v>2012</v>
      </c>
      <c r="B7" s="173" t="s">
        <v>99</v>
      </c>
      <c r="C7" s="173" t="s">
        <v>124</v>
      </c>
      <c r="D7" s="173" t="s">
        <v>131</v>
      </c>
      <c r="E7" s="209">
        <v>65</v>
      </c>
      <c r="F7" s="199" t="s">
        <v>47</v>
      </c>
      <c r="G7" s="200"/>
      <c r="H7" s="178"/>
      <c r="I7" s="200"/>
      <c r="J7" s="200"/>
      <c r="K7" s="178"/>
      <c r="L7" s="178"/>
      <c r="M7" s="178"/>
      <c r="N7" s="200"/>
      <c r="O7" s="178"/>
      <c r="P7" s="200"/>
      <c r="Q7" s="200"/>
      <c r="R7" s="178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178"/>
      <c r="AF7" s="178"/>
      <c r="AG7" s="200"/>
    </row>
    <row r="8" spans="1:33" ht="12.9" x14ac:dyDescent="0.35">
      <c r="A8" s="173">
        <v>2012</v>
      </c>
      <c r="B8" s="173" t="s">
        <v>100</v>
      </c>
      <c r="C8" s="173" t="s">
        <v>124</v>
      </c>
      <c r="D8" s="173" t="s">
        <v>132</v>
      </c>
      <c r="E8" s="209">
        <v>66</v>
      </c>
      <c r="F8" s="199" t="s">
        <v>52</v>
      </c>
      <c r="G8" s="200"/>
      <c r="H8" s="178"/>
      <c r="I8" s="200"/>
      <c r="J8" s="200">
        <v>1</v>
      </c>
      <c r="K8" s="200"/>
      <c r="L8" s="178"/>
      <c r="M8" s="178"/>
      <c r="N8" s="200"/>
      <c r="O8" s="178"/>
      <c r="P8" s="200"/>
      <c r="Q8" s="200"/>
      <c r="R8" s="178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178"/>
      <c r="AF8" s="178"/>
      <c r="AG8" s="200"/>
    </row>
    <row r="9" spans="1:33" ht="12.9" x14ac:dyDescent="0.35">
      <c r="A9" s="173">
        <v>2012</v>
      </c>
      <c r="B9" s="173" t="s">
        <v>100</v>
      </c>
      <c r="C9" s="173" t="s">
        <v>124</v>
      </c>
      <c r="D9" s="173" t="s">
        <v>133</v>
      </c>
      <c r="E9" s="209">
        <v>69</v>
      </c>
      <c r="F9" s="199" t="s">
        <v>33</v>
      </c>
      <c r="G9" s="200"/>
      <c r="H9" s="178"/>
      <c r="I9" s="200"/>
      <c r="J9" s="178"/>
      <c r="K9" s="178"/>
      <c r="L9" s="178"/>
      <c r="M9" s="178"/>
      <c r="N9" s="200"/>
      <c r="O9" s="178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178"/>
      <c r="AF9" s="178"/>
      <c r="AG9" s="200"/>
    </row>
    <row r="10" spans="1:33" ht="12.9" x14ac:dyDescent="0.35">
      <c r="A10" s="173">
        <v>2012</v>
      </c>
      <c r="B10" s="173" t="s">
        <v>99</v>
      </c>
      <c r="C10" s="173" t="s">
        <v>124</v>
      </c>
      <c r="D10" s="173" t="s">
        <v>134</v>
      </c>
      <c r="E10" s="209">
        <v>70</v>
      </c>
      <c r="F10" s="199" t="s">
        <v>27</v>
      </c>
      <c r="G10" s="200"/>
      <c r="H10" s="178"/>
      <c r="I10" s="200"/>
      <c r="J10" s="178">
        <v>1</v>
      </c>
      <c r="K10" s="178"/>
      <c r="L10" s="200"/>
      <c r="M10" s="178"/>
      <c r="N10" s="200"/>
      <c r="O10" s="178"/>
      <c r="P10" s="200"/>
      <c r="Q10" s="200"/>
      <c r="R10" s="178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178"/>
      <c r="AF10" s="178"/>
      <c r="AG10" s="200"/>
    </row>
    <row r="11" spans="1:33" ht="12.9" x14ac:dyDescent="0.35">
      <c r="A11" s="173"/>
      <c r="B11" s="173"/>
      <c r="C11" s="173"/>
      <c r="D11" s="173" t="s">
        <v>135</v>
      </c>
      <c r="E11" s="209">
        <v>71</v>
      </c>
      <c r="F11" s="199" t="s">
        <v>28</v>
      </c>
      <c r="G11" s="200"/>
      <c r="H11" s="200"/>
      <c r="I11" s="201"/>
      <c r="J11" s="201">
        <v>1</v>
      </c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</row>
    <row r="12" spans="1:33" ht="12.9" x14ac:dyDescent="0.35">
      <c r="A12" s="173">
        <v>2012</v>
      </c>
      <c r="B12" s="173" t="s">
        <v>100</v>
      </c>
      <c r="C12" s="173" t="s">
        <v>124</v>
      </c>
      <c r="D12" s="173" t="s">
        <v>136</v>
      </c>
      <c r="E12" s="209">
        <v>72</v>
      </c>
      <c r="F12" s="199" t="s">
        <v>34</v>
      </c>
      <c r="G12" s="200"/>
      <c r="H12" s="178"/>
      <c r="I12" s="200"/>
      <c r="J12" s="178"/>
      <c r="K12" s="178"/>
      <c r="L12" s="178"/>
      <c r="M12" s="178"/>
      <c r="N12" s="200"/>
      <c r="O12" s="178"/>
      <c r="P12" s="200"/>
      <c r="Q12" s="200"/>
      <c r="R12" s="178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178"/>
      <c r="AF12" s="178"/>
      <c r="AG12" s="200"/>
    </row>
    <row r="13" spans="1:33" ht="18" customHeight="1" x14ac:dyDescent="0.35">
      <c r="A13" s="173">
        <v>2012</v>
      </c>
      <c r="B13" s="173" t="s">
        <v>100</v>
      </c>
      <c r="C13" s="173" t="s">
        <v>124</v>
      </c>
      <c r="D13" s="173" t="s">
        <v>137</v>
      </c>
      <c r="E13" s="209">
        <v>73</v>
      </c>
      <c r="F13" s="199" t="s">
        <v>50</v>
      </c>
      <c r="G13" s="200"/>
      <c r="H13" s="178"/>
      <c r="I13" s="200"/>
      <c r="J13" s="178"/>
      <c r="K13" s="178"/>
      <c r="L13" s="178"/>
      <c r="M13" s="178"/>
      <c r="N13" s="200"/>
      <c r="O13" s="178"/>
      <c r="P13" s="200"/>
      <c r="Q13" s="200"/>
      <c r="R13" s="178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178"/>
      <c r="AF13" s="178"/>
      <c r="AG13" s="200"/>
    </row>
    <row r="14" spans="1:33" ht="12.9" x14ac:dyDescent="0.35">
      <c r="A14" s="173">
        <v>2012</v>
      </c>
      <c r="B14" s="173" t="s">
        <v>100</v>
      </c>
      <c r="C14" s="173" t="s">
        <v>124</v>
      </c>
      <c r="D14" s="173" t="s">
        <v>138</v>
      </c>
      <c r="E14" s="209">
        <v>74</v>
      </c>
      <c r="F14" s="199" t="s">
        <v>37</v>
      </c>
      <c r="G14" s="200"/>
      <c r="H14" s="178"/>
      <c r="I14" s="200"/>
      <c r="J14" s="178"/>
      <c r="K14" s="178"/>
      <c r="L14" s="178"/>
      <c r="M14" s="178"/>
      <c r="N14" s="200"/>
      <c r="O14" s="178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178"/>
      <c r="AF14" s="178"/>
      <c r="AG14" s="200"/>
    </row>
    <row r="15" spans="1:33" ht="12.9" x14ac:dyDescent="0.35">
      <c r="A15" s="173">
        <v>2012</v>
      </c>
      <c r="B15" s="173" t="s">
        <v>100</v>
      </c>
      <c r="C15" s="173" t="s">
        <v>124</v>
      </c>
      <c r="D15" s="173" t="s">
        <v>139</v>
      </c>
      <c r="E15" s="209">
        <v>75</v>
      </c>
      <c r="F15" s="199" t="s">
        <v>38</v>
      </c>
      <c r="G15" s="200"/>
      <c r="H15" s="178"/>
      <c r="I15" s="200"/>
      <c r="J15" s="178"/>
      <c r="K15" s="178"/>
      <c r="L15" s="178"/>
      <c r="M15" s="178"/>
      <c r="N15" s="200"/>
      <c r="O15" s="200"/>
      <c r="P15" s="200"/>
      <c r="Q15" s="200"/>
      <c r="R15" s="178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178"/>
      <c r="AF15" s="178"/>
      <c r="AG15" s="200"/>
    </row>
    <row r="16" spans="1:33" ht="12.9" x14ac:dyDescent="0.35">
      <c r="A16" s="173">
        <v>2012</v>
      </c>
      <c r="B16" s="173" t="s">
        <v>100</v>
      </c>
      <c r="C16" s="173" t="s">
        <v>124</v>
      </c>
      <c r="D16" s="173" t="s">
        <v>140</v>
      </c>
      <c r="E16" s="209">
        <v>76</v>
      </c>
      <c r="F16" s="199" t="s">
        <v>39</v>
      </c>
      <c r="G16" s="200"/>
      <c r="H16" s="178"/>
      <c r="I16" s="200"/>
      <c r="J16" s="178">
        <v>1</v>
      </c>
      <c r="K16" s="178"/>
      <c r="L16" s="178"/>
      <c r="M16" s="178"/>
      <c r="N16" s="200"/>
      <c r="O16" s="178"/>
      <c r="P16" s="200"/>
      <c r="Q16" s="200"/>
      <c r="R16" s="178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178"/>
      <c r="AF16" s="178"/>
      <c r="AG16" s="200"/>
    </row>
    <row r="17" spans="1:33" ht="12.9" x14ac:dyDescent="0.35">
      <c r="A17" s="173">
        <v>2012</v>
      </c>
      <c r="B17" s="173" t="s">
        <v>100</v>
      </c>
      <c r="C17" s="173" t="s">
        <v>124</v>
      </c>
      <c r="D17" s="173" t="s">
        <v>141</v>
      </c>
      <c r="E17" s="209">
        <v>78</v>
      </c>
      <c r="F17" s="199" t="s">
        <v>40</v>
      </c>
      <c r="G17" s="200"/>
      <c r="H17" s="178"/>
      <c r="I17" s="200"/>
      <c r="J17" s="178"/>
      <c r="K17" s="200"/>
      <c r="L17" s="178"/>
      <c r="M17" s="178"/>
      <c r="N17" s="200"/>
      <c r="O17" s="178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178"/>
      <c r="AF17" s="178"/>
      <c r="AG17" s="200"/>
    </row>
    <row r="18" spans="1:33" ht="12.9" x14ac:dyDescent="0.35">
      <c r="A18" s="173">
        <v>2012</v>
      </c>
      <c r="B18" s="173" t="s">
        <v>99</v>
      </c>
      <c r="C18" s="173" t="s">
        <v>124</v>
      </c>
      <c r="D18" s="173" t="s">
        <v>142</v>
      </c>
      <c r="E18" s="209">
        <v>79</v>
      </c>
      <c r="F18" s="199" t="s">
        <v>29</v>
      </c>
      <c r="G18" s="200">
        <v>1</v>
      </c>
      <c r="H18" s="178"/>
      <c r="I18" s="200"/>
      <c r="J18" s="178"/>
      <c r="K18" s="178"/>
      <c r="L18" s="178"/>
      <c r="M18" s="178"/>
      <c r="N18" s="200"/>
      <c r="O18" s="178"/>
      <c r="P18" s="200"/>
      <c r="Q18" s="200"/>
      <c r="R18" s="178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</row>
    <row r="19" spans="1:33" ht="12.9" x14ac:dyDescent="0.35">
      <c r="A19" s="173">
        <v>2012</v>
      </c>
      <c r="B19" s="173" t="s">
        <v>99</v>
      </c>
      <c r="C19" s="173" t="s">
        <v>124</v>
      </c>
      <c r="D19" s="173" t="s">
        <v>143</v>
      </c>
      <c r="E19" s="209">
        <v>80</v>
      </c>
      <c r="F19" s="199" t="s">
        <v>30</v>
      </c>
      <c r="G19" s="200"/>
      <c r="H19" s="178"/>
      <c r="I19" s="200"/>
      <c r="J19" s="178"/>
      <c r="K19" s="178"/>
      <c r="L19" s="178"/>
      <c r="M19" s="178"/>
      <c r="N19" s="200"/>
      <c r="O19" s="178"/>
      <c r="P19" s="200"/>
      <c r="Q19" s="200"/>
      <c r="R19" s="178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178"/>
      <c r="AF19" s="178"/>
      <c r="AG19" s="200"/>
    </row>
    <row r="20" spans="1:33" ht="12.9" x14ac:dyDescent="0.35">
      <c r="A20" s="173">
        <v>2012</v>
      </c>
      <c r="B20" s="173" t="s">
        <v>99</v>
      </c>
      <c r="C20" s="173" t="s">
        <v>124</v>
      </c>
      <c r="D20" s="173" t="s">
        <v>144</v>
      </c>
      <c r="E20" s="209">
        <v>81</v>
      </c>
      <c r="F20" s="199" t="s">
        <v>31</v>
      </c>
      <c r="G20" s="200"/>
      <c r="H20" s="201"/>
      <c r="I20" s="202"/>
      <c r="J20" s="202">
        <v>1</v>
      </c>
      <c r="K20" s="178"/>
      <c r="L20" s="178"/>
      <c r="M20" s="178"/>
      <c r="N20" s="200"/>
      <c r="O20" s="178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178"/>
      <c r="AF20" s="178"/>
      <c r="AG20" s="200"/>
    </row>
    <row r="21" spans="1:33" ht="12.9" x14ac:dyDescent="0.35">
      <c r="A21" s="173">
        <v>2012</v>
      </c>
      <c r="B21" s="173" t="s">
        <v>99</v>
      </c>
      <c r="C21" s="173" t="s">
        <v>124</v>
      </c>
      <c r="D21" s="173" t="s">
        <v>145</v>
      </c>
      <c r="E21" s="209">
        <v>82</v>
      </c>
      <c r="F21" s="199" t="s">
        <v>32</v>
      </c>
      <c r="G21" s="200"/>
      <c r="H21" s="178"/>
      <c r="I21" s="200"/>
      <c r="J21" s="178"/>
      <c r="K21" s="178"/>
      <c r="L21" s="178"/>
      <c r="M21" s="200"/>
      <c r="N21" s="200"/>
      <c r="O21" s="178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178"/>
      <c r="AF21" s="178"/>
      <c r="AG21" s="200"/>
    </row>
    <row r="22" spans="1:33" ht="12.9" x14ac:dyDescent="0.35">
      <c r="A22" s="173">
        <v>2012</v>
      </c>
      <c r="B22" s="173" t="s">
        <v>100</v>
      </c>
      <c r="C22" s="173" t="s">
        <v>124</v>
      </c>
      <c r="D22" s="173" t="s">
        <v>146</v>
      </c>
      <c r="E22" s="209">
        <v>83</v>
      </c>
      <c r="F22" s="199" t="s">
        <v>26</v>
      </c>
      <c r="G22" s="200"/>
      <c r="H22" s="178"/>
      <c r="I22" s="200"/>
      <c r="J22" s="178"/>
      <c r="K22" s="178"/>
      <c r="L22" s="178"/>
      <c r="M22" s="200"/>
      <c r="N22" s="200"/>
      <c r="O22" s="178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178"/>
      <c r="AF22" s="178"/>
      <c r="AG22" s="200"/>
    </row>
    <row r="23" spans="1:33" ht="12.9" x14ac:dyDescent="0.35">
      <c r="A23" s="173">
        <v>2012</v>
      </c>
      <c r="B23" s="173" t="s">
        <v>100</v>
      </c>
      <c r="C23" s="173" t="s">
        <v>124</v>
      </c>
      <c r="D23" s="173" t="s">
        <v>147</v>
      </c>
      <c r="E23" s="209">
        <v>84</v>
      </c>
      <c r="F23" s="199" t="s">
        <v>41</v>
      </c>
      <c r="G23" s="200"/>
      <c r="H23" s="178"/>
      <c r="I23" s="200"/>
      <c r="J23" s="178"/>
      <c r="K23" s="178"/>
      <c r="L23" s="178"/>
      <c r="M23" s="178"/>
      <c r="N23" s="200"/>
      <c r="O23" s="178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178"/>
      <c r="AF23" s="178"/>
      <c r="AG23" s="200"/>
    </row>
    <row r="24" spans="1:33" ht="12.9" x14ac:dyDescent="0.35">
      <c r="A24" s="173">
        <v>2012</v>
      </c>
      <c r="B24" s="173" t="s">
        <v>100</v>
      </c>
      <c r="C24" s="173" t="s">
        <v>124</v>
      </c>
      <c r="D24" s="173" t="s">
        <v>148</v>
      </c>
      <c r="E24" s="209">
        <v>85</v>
      </c>
      <c r="F24" s="199" t="s">
        <v>48</v>
      </c>
      <c r="G24" s="200"/>
      <c r="H24" s="178"/>
      <c r="I24" s="200"/>
      <c r="J24" s="178"/>
      <c r="K24" s="178"/>
      <c r="L24" s="178"/>
      <c r="M24" s="200"/>
      <c r="N24" s="200"/>
      <c r="O24" s="178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178"/>
      <c r="AF24" s="178"/>
      <c r="AG24" s="200"/>
    </row>
    <row r="25" spans="1:33" ht="12.9" x14ac:dyDescent="0.35">
      <c r="A25" s="173">
        <v>2012</v>
      </c>
      <c r="B25" s="173" t="s">
        <v>100</v>
      </c>
      <c r="C25" s="173" t="s">
        <v>124</v>
      </c>
      <c r="D25" s="173" t="s">
        <v>149</v>
      </c>
      <c r="E25" s="209">
        <v>86</v>
      </c>
      <c r="F25" s="199" t="s">
        <v>35</v>
      </c>
      <c r="G25" s="200"/>
      <c r="H25" s="178"/>
      <c r="I25" s="200"/>
      <c r="J25" s="178"/>
      <c r="K25" s="178"/>
      <c r="L25" s="178"/>
      <c r="M25" s="178"/>
      <c r="N25" s="200"/>
      <c r="O25" s="178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178"/>
      <c r="AF25" s="178"/>
      <c r="AG25" s="200"/>
    </row>
    <row r="26" spans="1:33" ht="12.9" x14ac:dyDescent="0.35">
      <c r="A26" s="173">
        <v>2012</v>
      </c>
      <c r="B26" s="173" t="s">
        <v>100</v>
      </c>
      <c r="C26" s="173" t="s">
        <v>124</v>
      </c>
      <c r="D26" s="173" t="s">
        <v>150</v>
      </c>
      <c r="E26" s="209">
        <v>87</v>
      </c>
      <c r="F26" s="199" t="s">
        <v>36</v>
      </c>
      <c r="G26" s="200"/>
      <c r="H26" s="178"/>
      <c r="I26" s="200"/>
      <c r="J26" s="178"/>
      <c r="K26" s="178"/>
      <c r="L26" s="178"/>
      <c r="M26" s="178"/>
      <c r="N26" s="200"/>
      <c r="O26" s="178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178"/>
      <c r="AF26" s="178"/>
      <c r="AG26" s="200"/>
    </row>
    <row r="27" spans="1:33" ht="12" x14ac:dyDescent="0.35">
      <c r="F27" s="78" t="s">
        <v>9</v>
      </c>
      <c r="G27" s="202">
        <f>SUM(G18:G26)</f>
        <v>1</v>
      </c>
      <c r="H27" s="202"/>
      <c r="I27" s="202"/>
      <c r="J27" s="202">
        <f>SUM(J2:J26)</f>
        <v>6</v>
      </c>
      <c r="K27" s="202">
        <v>1</v>
      </c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</row>
    <row r="28" spans="1:33" ht="12" x14ac:dyDescent="0.35">
      <c r="G28" s="202"/>
      <c r="H28" s="201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</row>
    <row r="29" spans="1:33" ht="12" x14ac:dyDescent="0.35">
      <c r="G29" s="202"/>
      <c r="H29" s="201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59999389629810485"/>
  </sheetPr>
  <dimension ref="A1:AG29"/>
  <sheetViews>
    <sheetView topLeftCell="D1" zoomScaleNormal="100" workbookViewId="0">
      <pane ySplit="1" topLeftCell="A8" activePane="bottomLeft" state="frozen"/>
      <selection activeCell="E1" sqref="E1"/>
      <selection pane="bottomLeft" activeCell="K5" sqref="K5"/>
    </sheetView>
  </sheetViews>
  <sheetFormatPr defaultColWidth="8.765625" defaultRowHeight="11.6" x14ac:dyDescent="0.3"/>
  <cols>
    <col min="1" max="1" width="8.765625" style="78"/>
    <col min="2" max="2" width="7.4609375" style="78" customWidth="1"/>
    <col min="3" max="3" width="8.765625" style="78"/>
    <col min="4" max="4" width="7.4609375" style="78" customWidth="1"/>
    <col min="5" max="5" width="8.765625" style="180"/>
    <col min="6" max="6" width="14.3046875" style="78" customWidth="1"/>
    <col min="7" max="7" width="5.3046875" style="78" customWidth="1"/>
    <col min="8" max="8" width="5.3046875" style="180" customWidth="1"/>
    <col min="9" max="32" width="5.3046875" style="78" customWidth="1"/>
    <col min="33" max="33" width="5.07421875" style="78" customWidth="1"/>
    <col min="34" max="16384" width="8.765625" style="78"/>
  </cols>
  <sheetData>
    <row r="1" spans="1:33" ht="102" customHeight="1" x14ac:dyDescent="0.35">
      <c r="A1" s="173" t="s">
        <v>115</v>
      </c>
      <c r="B1" s="173" t="s">
        <v>98</v>
      </c>
      <c r="C1" s="173" t="s">
        <v>116</v>
      </c>
      <c r="D1" s="173" t="s">
        <v>117</v>
      </c>
      <c r="E1" s="204" t="s">
        <v>0</v>
      </c>
      <c r="F1" s="173" t="s">
        <v>25</v>
      </c>
      <c r="G1" s="179" t="s">
        <v>5</v>
      </c>
      <c r="H1" s="179" t="s">
        <v>6</v>
      </c>
      <c r="I1" s="179" t="s">
        <v>1</v>
      </c>
      <c r="J1" s="179" t="s">
        <v>7</v>
      </c>
      <c r="K1" s="179" t="s">
        <v>4</v>
      </c>
      <c r="L1" s="179" t="s">
        <v>3</v>
      </c>
      <c r="M1" s="179" t="s">
        <v>2</v>
      </c>
      <c r="N1" s="179" t="s">
        <v>118</v>
      </c>
      <c r="O1" s="179" t="s">
        <v>86</v>
      </c>
      <c r="P1" s="179" t="s">
        <v>88</v>
      </c>
      <c r="Q1" s="179" t="s">
        <v>96</v>
      </c>
      <c r="R1" s="179" t="s">
        <v>22</v>
      </c>
      <c r="S1" s="179" t="s">
        <v>94</v>
      </c>
      <c r="T1" s="179" t="s">
        <v>57</v>
      </c>
      <c r="U1" s="179" t="s">
        <v>54</v>
      </c>
      <c r="V1" s="179" t="s">
        <v>119</v>
      </c>
      <c r="W1" s="179" t="s">
        <v>56</v>
      </c>
      <c r="X1" s="179" t="s">
        <v>53</v>
      </c>
      <c r="Y1" s="179" t="s">
        <v>17</v>
      </c>
      <c r="Z1" s="179" t="s">
        <v>93</v>
      </c>
      <c r="AA1" s="179" t="s">
        <v>120</v>
      </c>
      <c r="AB1" s="179" t="s">
        <v>8</v>
      </c>
      <c r="AC1" s="179" t="s">
        <v>23</v>
      </c>
      <c r="AD1" s="179" t="s">
        <v>49</v>
      </c>
      <c r="AE1" s="179" t="s">
        <v>121</v>
      </c>
      <c r="AF1" s="179" t="s">
        <v>151</v>
      </c>
      <c r="AG1" s="179" t="s">
        <v>13</v>
      </c>
    </row>
    <row r="2" spans="1:33" ht="25.75" x14ac:dyDescent="0.35">
      <c r="A2" s="173">
        <v>2012</v>
      </c>
      <c r="B2" s="173" t="s">
        <v>99</v>
      </c>
      <c r="C2" s="173" t="s">
        <v>124</v>
      </c>
      <c r="D2" s="173" t="s">
        <v>125</v>
      </c>
      <c r="E2" s="204">
        <v>30</v>
      </c>
      <c r="F2" s="198" t="s">
        <v>89</v>
      </c>
      <c r="G2" s="200"/>
      <c r="H2" s="178"/>
      <c r="I2" s="200"/>
      <c r="J2" s="178"/>
      <c r="K2" s="178"/>
      <c r="L2" s="178"/>
      <c r="M2" s="178"/>
      <c r="N2" s="200"/>
      <c r="O2" s="178"/>
      <c r="P2" s="200"/>
      <c r="Q2" s="200"/>
      <c r="R2" s="178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178"/>
      <c r="AF2" s="178"/>
      <c r="AG2" s="200"/>
    </row>
    <row r="3" spans="1:33" ht="12.9" x14ac:dyDescent="0.35">
      <c r="A3" s="173">
        <v>2012</v>
      </c>
      <c r="B3" s="173" t="s">
        <v>99</v>
      </c>
      <c r="C3" s="173" t="s">
        <v>124</v>
      </c>
      <c r="D3" s="173" t="s">
        <v>126</v>
      </c>
      <c r="E3" s="204">
        <v>38</v>
      </c>
      <c r="F3" s="199" t="s">
        <v>43</v>
      </c>
      <c r="G3" s="200"/>
      <c r="H3" s="178"/>
      <c r="I3" s="200"/>
      <c r="J3" s="200"/>
      <c r="K3" s="200"/>
      <c r="L3" s="178"/>
      <c r="M3" s="200"/>
      <c r="N3" s="200"/>
      <c r="O3" s="178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178"/>
      <c r="AF3" s="178"/>
      <c r="AG3" s="200"/>
    </row>
    <row r="4" spans="1:33" ht="12.9" x14ac:dyDescent="0.35">
      <c r="A4" s="173">
        <v>2012</v>
      </c>
      <c r="B4" s="173" t="s">
        <v>99</v>
      </c>
      <c r="C4" s="173" t="s">
        <v>124</v>
      </c>
      <c r="D4" s="173" t="s">
        <v>127</v>
      </c>
      <c r="E4" s="204">
        <v>58</v>
      </c>
      <c r="F4" s="199" t="s">
        <v>44</v>
      </c>
      <c r="G4" s="200"/>
      <c r="H4" s="200"/>
      <c r="I4" s="200"/>
      <c r="J4" s="178"/>
      <c r="K4" s="200"/>
      <c r="L4" s="178"/>
      <c r="M4" s="178"/>
      <c r="N4" s="200"/>
      <c r="O4" s="178"/>
      <c r="P4" s="200"/>
      <c r="Q4" s="200"/>
      <c r="R4" s="178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178"/>
      <c r="AF4" s="178"/>
      <c r="AG4" s="200"/>
    </row>
    <row r="5" spans="1:33" ht="12.9" x14ac:dyDescent="0.35">
      <c r="A5" s="173">
        <v>2012</v>
      </c>
      <c r="B5" s="173" t="s">
        <v>99</v>
      </c>
      <c r="C5" s="173" t="s">
        <v>124</v>
      </c>
      <c r="D5" s="173" t="s">
        <v>128</v>
      </c>
      <c r="E5" s="204">
        <v>61</v>
      </c>
      <c r="F5" s="199" t="s">
        <v>45</v>
      </c>
      <c r="G5" s="200"/>
      <c r="H5" s="178"/>
      <c r="I5" s="200"/>
      <c r="J5" s="178"/>
      <c r="K5" s="178"/>
      <c r="L5" s="178"/>
      <c r="M5" s="200"/>
      <c r="N5" s="200"/>
      <c r="O5" s="178"/>
      <c r="P5" s="200"/>
      <c r="Q5" s="200"/>
      <c r="R5" s="178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178"/>
      <c r="AF5" s="178"/>
      <c r="AG5" s="200"/>
    </row>
    <row r="6" spans="1:33" ht="12.9" x14ac:dyDescent="0.35">
      <c r="A6" s="173">
        <v>2012</v>
      </c>
      <c r="B6" s="173" t="s">
        <v>99</v>
      </c>
      <c r="C6" s="173" t="s">
        <v>124</v>
      </c>
      <c r="D6" s="173" t="s">
        <v>129</v>
      </c>
      <c r="E6" s="204">
        <v>62</v>
      </c>
      <c r="F6" s="199" t="s">
        <v>130</v>
      </c>
      <c r="G6" s="200"/>
      <c r="H6" s="200"/>
      <c r="I6" s="200"/>
      <c r="J6" s="200"/>
      <c r="K6" s="200"/>
      <c r="L6" s="178"/>
      <c r="M6" s="178"/>
      <c r="N6" s="200"/>
      <c r="O6" s="178"/>
      <c r="P6" s="200"/>
      <c r="Q6" s="200"/>
      <c r="R6" s="178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178"/>
      <c r="AF6" s="178"/>
      <c r="AG6" s="200"/>
    </row>
    <row r="7" spans="1:33" ht="12.9" x14ac:dyDescent="0.35">
      <c r="A7" s="173">
        <v>2012</v>
      </c>
      <c r="B7" s="173" t="s">
        <v>99</v>
      </c>
      <c r="C7" s="173" t="s">
        <v>124</v>
      </c>
      <c r="D7" s="173" t="s">
        <v>131</v>
      </c>
      <c r="E7" s="204">
        <v>65</v>
      </c>
      <c r="F7" s="199" t="s">
        <v>47</v>
      </c>
      <c r="G7" s="200"/>
      <c r="H7" s="178"/>
      <c r="I7" s="200"/>
      <c r="J7" s="200"/>
      <c r="K7" s="178"/>
      <c r="L7" s="178"/>
      <c r="M7" s="178"/>
      <c r="N7" s="200"/>
      <c r="O7" s="178"/>
      <c r="P7" s="200"/>
      <c r="Q7" s="200"/>
      <c r="R7" s="178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178"/>
      <c r="AF7" s="178"/>
      <c r="AG7" s="200"/>
    </row>
    <row r="8" spans="1:33" ht="12.9" x14ac:dyDescent="0.35">
      <c r="A8" s="173">
        <v>2012</v>
      </c>
      <c r="B8" s="173" t="s">
        <v>100</v>
      </c>
      <c r="C8" s="173" t="s">
        <v>124</v>
      </c>
      <c r="D8" s="173" t="s">
        <v>132</v>
      </c>
      <c r="E8" s="204">
        <v>66</v>
      </c>
      <c r="F8" s="199" t="s">
        <v>52</v>
      </c>
      <c r="G8" s="200"/>
      <c r="H8" s="178"/>
      <c r="I8" s="200"/>
      <c r="J8" s="200"/>
      <c r="K8" s="200"/>
      <c r="L8" s="178"/>
      <c r="M8" s="178"/>
      <c r="N8" s="200"/>
      <c r="O8" s="178"/>
      <c r="P8" s="200"/>
      <c r="Q8" s="200"/>
      <c r="R8" s="178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178"/>
      <c r="AF8" s="178"/>
      <c r="AG8" s="200"/>
    </row>
    <row r="9" spans="1:33" ht="12.9" x14ac:dyDescent="0.35">
      <c r="A9" s="173">
        <v>2012</v>
      </c>
      <c r="B9" s="173" t="s">
        <v>100</v>
      </c>
      <c r="C9" s="173" t="s">
        <v>124</v>
      </c>
      <c r="D9" s="173" t="s">
        <v>133</v>
      </c>
      <c r="E9" s="204">
        <v>69</v>
      </c>
      <c r="F9" s="199" t="s">
        <v>33</v>
      </c>
      <c r="G9" s="200"/>
      <c r="H9" s="178"/>
      <c r="I9" s="200"/>
      <c r="J9" s="178"/>
      <c r="K9" s="178"/>
      <c r="L9" s="178"/>
      <c r="M9" s="178"/>
      <c r="N9" s="200"/>
      <c r="O9" s="178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178"/>
      <c r="AF9" s="178"/>
      <c r="AG9" s="200"/>
    </row>
    <row r="10" spans="1:33" ht="12.9" x14ac:dyDescent="0.35">
      <c r="A10" s="173">
        <v>2012</v>
      </c>
      <c r="B10" s="173" t="s">
        <v>99</v>
      </c>
      <c r="C10" s="173" t="s">
        <v>124</v>
      </c>
      <c r="D10" s="173" t="s">
        <v>134</v>
      </c>
      <c r="E10" s="204">
        <v>70</v>
      </c>
      <c r="F10" s="199" t="s">
        <v>27</v>
      </c>
      <c r="G10" s="200"/>
      <c r="H10" s="178"/>
      <c r="I10" s="200"/>
      <c r="J10" s="178"/>
      <c r="K10" s="178"/>
      <c r="L10" s="200"/>
      <c r="M10" s="178"/>
      <c r="N10" s="200"/>
      <c r="O10" s="178">
        <v>1</v>
      </c>
      <c r="P10" s="200"/>
      <c r="Q10" s="200"/>
      <c r="R10" s="178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178"/>
      <c r="AF10" s="178"/>
      <c r="AG10" s="200"/>
    </row>
    <row r="11" spans="1:33" ht="12.9" x14ac:dyDescent="0.35">
      <c r="A11" s="173"/>
      <c r="B11" s="173"/>
      <c r="C11" s="173"/>
      <c r="D11" s="173" t="s">
        <v>135</v>
      </c>
      <c r="E11" s="204">
        <v>71</v>
      </c>
      <c r="F11" s="199" t="s">
        <v>28</v>
      </c>
      <c r="G11" s="200"/>
      <c r="H11" s="200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</row>
    <row r="12" spans="1:33" ht="12.9" x14ac:dyDescent="0.35">
      <c r="A12" s="173">
        <v>2012</v>
      </c>
      <c r="B12" s="173" t="s">
        <v>100</v>
      </c>
      <c r="C12" s="173" t="s">
        <v>124</v>
      </c>
      <c r="D12" s="173" t="s">
        <v>136</v>
      </c>
      <c r="E12" s="204">
        <v>72</v>
      </c>
      <c r="F12" s="199" t="s">
        <v>34</v>
      </c>
      <c r="G12" s="200"/>
      <c r="H12" s="178"/>
      <c r="I12" s="200"/>
      <c r="J12" s="178"/>
      <c r="K12" s="178"/>
      <c r="L12" s="178"/>
      <c r="M12" s="178"/>
      <c r="N12" s="200"/>
      <c r="O12" s="178"/>
      <c r="P12" s="200"/>
      <c r="Q12" s="200"/>
      <c r="R12" s="178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178"/>
      <c r="AF12" s="178"/>
      <c r="AG12" s="200"/>
    </row>
    <row r="13" spans="1:33" ht="18" customHeight="1" x14ac:dyDescent="0.35">
      <c r="A13" s="173">
        <v>2012</v>
      </c>
      <c r="B13" s="173" t="s">
        <v>100</v>
      </c>
      <c r="C13" s="173" t="s">
        <v>124</v>
      </c>
      <c r="D13" s="173" t="s">
        <v>137</v>
      </c>
      <c r="E13" s="204">
        <v>73</v>
      </c>
      <c r="F13" s="199" t="s">
        <v>50</v>
      </c>
      <c r="G13" s="200"/>
      <c r="H13" s="178"/>
      <c r="I13" s="200"/>
      <c r="J13" s="178"/>
      <c r="K13" s="178"/>
      <c r="L13" s="178"/>
      <c r="M13" s="178"/>
      <c r="N13" s="200"/>
      <c r="O13" s="178"/>
      <c r="P13" s="200"/>
      <c r="Q13" s="200"/>
      <c r="R13" s="178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178"/>
      <c r="AF13" s="178"/>
      <c r="AG13" s="200"/>
    </row>
    <row r="14" spans="1:33" ht="12.9" x14ac:dyDescent="0.35">
      <c r="A14" s="173">
        <v>2012</v>
      </c>
      <c r="B14" s="173" t="s">
        <v>100</v>
      </c>
      <c r="C14" s="173" t="s">
        <v>124</v>
      </c>
      <c r="D14" s="173" t="s">
        <v>138</v>
      </c>
      <c r="E14" s="204">
        <v>74</v>
      </c>
      <c r="F14" s="199" t="s">
        <v>37</v>
      </c>
      <c r="G14" s="200"/>
      <c r="H14" s="178"/>
      <c r="I14" s="200"/>
      <c r="J14" s="178"/>
      <c r="K14" s="178"/>
      <c r="L14" s="178"/>
      <c r="M14" s="178"/>
      <c r="N14" s="200"/>
      <c r="O14" s="178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178"/>
      <c r="AF14" s="178"/>
      <c r="AG14" s="200"/>
    </row>
    <row r="15" spans="1:33" ht="12.9" x14ac:dyDescent="0.35">
      <c r="A15" s="173">
        <v>2012</v>
      </c>
      <c r="B15" s="173" t="s">
        <v>100</v>
      </c>
      <c r="C15" s="173" t="s">
        <v>124</v>
      </c>
      <c r="D15" s="173" t="s">
        <v>139</v>
      </c>
      <c r="E15" s="204">
        <v>75</v>
      </c>
      <c r="F15" s="199" t="s">
        <v>38</v>
      </c>
      <c r="G15" s="200"/>
      <c r="H15" s="178"/>
      <c r="I15" s="200"/>
      <c r="J15" s="178"/>
      <c r="K15" s="178"/>
      <c r="L15" s="178"/>
      <c r="M15" s="178"/>
      <c r="N15" s="200"/>
      <c r="O15" s="200"/>
      <c r="P15" s="200"/>
      <c r="Q15" s="200"/>
      <c r="R15" s="178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178"/>
      <c r="AF15" s="178"/>
      <c r="AG15" s="200"/>
    </row>
    <row r="16" spans="1:33" ht="12.9" x14ac:dyDescent="0.35">
      <c r="A16" s="173">
        <v>2012</v>
      </c>
      <c r="B16" s="173" t="s">
        <v>100</v>
      </c>
      <c r="C16" s="173" t="s">
        <v>124</v>
      </c>
      <c r="D16" s="173" t="s">
        <v>140</v>
      </c>
      <c r="E16" s="204">
        <v>76</v>
      </c>
      <c r="F16" s="199" t="s">
        <v>39</v>
      </c>
      <c r="G16" s="200"/>
      <c r="H16" s="178"/>
      <c r="I16" s="200"/>
      <c r="J16" s="178"/>
      <c r="K16" s="178"/>
      <c r="L16" s="178"/>
      <c r="M16" s="178"/>
      <c r="N16" s="200"/>
      <c r="O16" s="178"/>
      <c r="P16" s="200"/>
      <c r="Q16" s="200"/>
      <c r="R16" s="178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178"/>
      <c r="AF16" s="178"/>
      <c r="AG16" s="200"/>
    </row>
    <row r="17" spans="1:33" ht="12.9" x14ac:dyDescent="0.35">
      <c r="A17" s="173">
        <v>2012</v>
      </c>
      <c r="B17" s="173" t="s">
        <v>100</v>
      </c>
      <c r="C17" s="173" t="s">
        <v>124</v>
      </c>
      <c r="D17" s="173" t="s">
        <v>141</v>
      </c>
      <c r="E17" s="204">
        <v>78</v>
      </c>
      <c r="F17" s="199" t="s">
        <v>40</v>
      </c>
      <c r="G17" s="200">
        <v>1</v>
      </c>
      <c r="H17" s="178">
        <v>4</v>
      </c>
      <c r="I17" s="200"/>
      <c r="J17" s="178"/>
      <c r="K17" s="200"/>
      <c r="L17" s="178"/>
      <c r="M17" s="178"/>
      <c r="N17" s="200"/>
      <c r="O17" s="178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178"/>
      <c r="AF17" s="178"/>
      <c r="AG17" s="200"/>
    </row>
    <row r="18" spans="1:33" ht="12.9" x14ac:dyDescent="0.35">
      <c r="A18" s="173">
        <v>2012</v>
      </c>
      <c r="B18" s="173" t="s">
        <v>99</v>
      </c>
      <c r="C18" s="173" t="s">
        <v>124</v>
      </c>
      <c r="D18" s="173" t="s">
        <v>142</v>
      </c>
      <c r="E18" s="204">
        <v>79</v>
      </c>
      <c r="F18" s="199" t="s">
        <v>29</v>
      </c>
      <c r="G18" s="200"/>
      <c r="H18" s="178"/>
      <c r="I18" s="200"/>
      <c r="J18" s="178"/>
      <c r="K18" s="178"/>
      <c r="L18" s="178"/>
      <c r="M18" s="178"/>
      <c r="N18" s="200"/>
      <c r="O18" s="178"/>
      <c r="P18" s="200"/>
      <c r="Q18" s="200"/>
      <c r="R18" s="178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</row>
    <row r="19" spans="1:33" ht="12.9" x14ac:dyDescent="0.35">
      <c r="A19" s="173">
        <v>2012</v>
      </c>
      <c r="B19" s="173" t="s">
        <v>99</v>
      </c>
      <c r="C19" s="173" t="s">
        <v>124</v>
      </c>
      <c r="D19" s="173" t="s">
        <v>143</v>
      </c>
      <c r="E19" s="204">
        <v>80</v>
      </c>
      <c r="F19" s="199" t="s">
        <v>30</v>
      </c>
      <c r="G19" s="200"/>
      <c r="H19" s="178"/>
      <c r="I19" s="200"/>
      <c r="J19" s="178">
        <v>1</v>
      </c>
      <c r="K19" s="178"/>
      <c r="L19" s="178"/>
      <c r="M19" s="178"/>
      <c r="N19" s="200"/>
      <c r="O19" s="178"/>
      <c r="P19" s="200"/>
      <c r="Q19" s="200"/>
      <c r="R19" s="178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178"/>
      <c r="AF19" s="178"/>
      <c r="AG19" s="200"/>
    </row>
    <row r="20" spans="1:33" ht="12.9" x14ac:dyDescent="0.35">
      <c r="A20" s="173">
        <v>2012</v>
      </c>
      <c r="B20" s="173" t="s">
        <v>99</v>
      </c>
      <c r="C20" s="173" t="s">
        <v>124</v>
      </c>
      <c r="D20" s="173" t="s">
        <v>144</v>
      </c>
      <c r="E20" s="204">
        <v>81</v>
      </c>
      <c r="F20" s="199" t="s">
        <v>31</v>
      </c>
      <c r="G20" s="200"/>
      <c r="H20" s="201"/>
      <c r="I20" s="202"/>
      <c r="J20" s="202"/>
      <c r="K20" s="178"/>
      <c r="L20" s="178"/>
      <c r="M20" s="178"/>
      <c r="N20" s="200"/>
      <c r="O20" s="178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178"/>
      <c r="AF20" s="178"/>
      <c r="AG20" s="200"/>
    </row>
    <row r="21" spans="1:33" ht="12.9" x14ac:dyDescent="0.35">
      <c r="A21" s="173">
        <v>2012</v>
      </c>
      <c r="B21" s="173" t="s">
        <v>99</v>
      </c>
      <c r="C21" s="173" t="s">
        <v>124</v>
      </c>
      <c r="D21" s="173" t="s">
        <v>145</v>
      </c>
      <c r="E21" s="204">
        <v>82</v>
      </c>
      <c r="F21" s="199" t="s">
        <v>32</v>
      </c>
      <c r="G21" s="200"/>
      <c r="H21" s="178"/>
      <c r="I21" s="200"/>
      <c r="J21" s="178"/>
      <c r="K21" s="178"/>
      <c r="L21" s="178"/>
      <c r="M21" s="200"/>
      <c r="N21" s="200"/>
      <c r="O21" s="178">
        <v>1</v>
      </c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178"/>
      <c r="AF21" s="178"/>
      <c r="AG21" s="200"/>
    </row>
    <row r="22" spans="1:33" ht="12.9" x14ac:dyDescent="0.35">
      <c r="A22" s="173">
        <v>2012</v>
      </c>
      <c r="B22" s="173" t="s">
        <v>100</v>
      </c>
      <c r="C22" s="173" t="s">
        <v>124</v>
      </c>
      <c r="D22" s="173" t="s">
        <v>146</v>
      </c>
      <c r="E22" s="204">
        <v>83</v>
      </c>
      <c r="F22" s="199" t="s">
        <v>26</v>
      </c>
      <c r="G22" s="200"/>
      <c r="H22" s="178"/>
      <c r="I22" s="200"/>
      <c r="J22" s="178"/>
      <c r="K22" s="178"/>
      <c r="L22" s="178"/>
      <c r="M22" s="200"/>
      <c r="N22" s="200"/>
      <c r="O22" s="178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178"/>
      <c r="AF22" s="178"/>
      <c r="AG22" s="200"/>
    </row>
    <row r="23" spans="1:33" ht="12.9" x14ac:dyDescent="0.35">
      <c r="A23" s="173">
        <v>2012</v>
      </c>
      <c r="B23" s="173" t="s">
        <v>100</v>
      </c>
      <c r="C23" s="173" t="s">
        <v>124</v>
      </c>
      <c r="D23" s="173" t="s">
        <v>147</v>
      </c>
      <c r="E23" s="204">
        <v>84</v>
      </c>
      <c r="F23" s="199" t="s">
        <v>41</v>
      </c>
      <c r="G23" s="200"/>
      <c r="H23" s="178"/>
      <c r="I23" s="200">
        <v>1</v>
      </c>
      <c r="J23" s="178"/>
      <c r="K23" s="178"/>
      <c r="L23" s="178"/>
      <c r="M23" s="178"/>
      <c r="N23" s="200"/>
      <c r="O23" s="178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178"/>
      <c r="AF23" s="178"/>
      <c r="AG23" s="200"/>
    </row>
    <row r="24" spans="1:33" ht="12.9" x14ac:dyDescent="0.35">
      <c r="A24" s="173">
        <v>2012</v>
      </c>
      <c r="B24" s="173" t="s">
        <v>100</v>
      </c>
      <c r="C24" s="173" t="s">
        <v>124</v>
      </c>
      <c r="D24" s="173" t="s">
        <v>148</v>
      </c>
      <c r="E24" s="204">
        <v>85</v>
      </c>
      <c r="F24" s="199" t="s">
        <v>48</v>
      </c>
      <c r="G24" s="200"/>
      <c r="H24" s="178"/>
      <c r="I24" s="200"/>
      <c r="J24" s="178"/>
      <c r="K24" s="178"/>
      <c r="L24" s="178"/>
      <c r="M24" s="200"/>
      <c r="N24" s="200"/>
      <c r="O24" s="178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178"/>
      <c r="AF24" s="178"/>
      <c r="AG24" s="200"/>
    </row>
    <row r="25" spans="1:33" ht="12.9" x14ac:dyDescent="0.35">
      <c r="A25" s="173">
        <v>2012</v>
      </c>
      <c r="B25" s="173" t="s">
        <v>100</v>
      </c>
      <c r="C25" s="173" t="s">
        <v>124</v>
      </c>
      <c r="D25" s="173" t="s">
        <v>149</v>
      </c>
      <c r="E25" s="204">
        <v>86</v>
      </c>
      <c r="F25" s="199" t="s">
        <v>35</v>
      </c>
      <c r="G25" s="200"/>
      <c r="H25" s="178"/>
      <c r="I25" s="200"/>
      <c r="J25" s="178"/>
      <c r="K25" s="178"/>
      <c r="L25" s="178"/>
      <c r="M25" s="178"/>
      <c r="N25" s="200"/>
      <c r="O25" s="178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178"/>
      <c r="AF25" s="178"/>
      <c r="AG25" s="200"/>
    </row>
    <row r="26" spans="1:33" ht="12.9" x14ac:dyDescent="0.35">
      <c r="A26" s="173">
        <v>2012</v>
      </c>
      <c r="B26" s="173" t="s">
        <v>100</v>
      </c>
      <c r="C26" s="173" t="s">
        <v>124</v>
      </c>
      <c r="D26" s="173" t="s">
        <v>150</v>
      </c>
      <c r="E26" s="204">
        <v>87</v>
      </c>
      <c r="F26" s="199" t="s">
        <v>36</v>
      </c>
      <c r="G26" s="200">
        <v>1</v>
      </c>
      <c r="H26" s="178">
        <v>8</v>
      </c>
      <c r="I26" s="200"/>
      <c r="J26" s="178"/>
      <c r="K26" s="178"/>
      <c r="L26" s="178"/>
      <c r="M26" s="178"/>
      <c r="N26" s="200"/>
      <c r="O26" s="178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178"/>
      <c r="AF26" s="178"/>
      <c r="AG26" s="200"/>
    </row>
    <row r="27" spans="1:33" ht="12" x14ac:dyDescent="0.35">
      <c r="F27" s="78" t="s">
        <v>9</v>
      </c>
      <c r="G27" s="202">
        <f>SUM(G2:G26)</f>
        <v>2</v>
      </c>
      <c r="H27" s="202">
        <f t="shared" ref="H27:O27" si="0">SUM(H2:H26)</f>
        <v>12</v>
      </c>
      <c r="I27" s="202">
        <f t="shared" si="0"/>
        <v>1</v>
      </c>
      <c r="J27" s="202">
        <f t="shared" si="0"/>
        <v>1</v>
      </c>
      <c r="K27" s="202" t="s">
        <v>20</v>
      </c>
      <c r="L27" s="202" t="s">
        <v>20</v>
      </c>
      <c r="M27" s="202" t="s">
        <v>20</v>
      </c>
      <c r="N27" s="202" t="s">
        <v>20</v>
      </c>
      <c r="O27" s="202">
        <f t="shared" si="0"/>
        <v>2</v>
      </c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</row>
    <row r="28" spans="1:33" ht="12" x14ac:dyDescent="0.35">
      <c r="G28" s="202"/>
      <c r="H28" s="201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</row>
    <row r="29" spans="1:33" ht="12" x14ac:dyDescent="0.35">
      <c r="G29" s="202"/>
      <c r="H29" s="201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0.59999389629810485"/>
  </sheetPr>
  <dimension ref="A1:AG29"/>
  <sheetViews>
    <sheetView zoomScaleNormal="100" workbookViewId="0">
      <pane ySplit="1" topLeftCell="A11" activePane="bottomLeft" state="frozen"/>
      <selection activeCell="E1" sqref="E1"/>
      <selection pane="bottomLeft" activeCell="N6" sqref="M6:N6"/>
    </sheetView>
  </sheetViews>
  <sheetFormatPr defaultColWidth="8.765625" defaultRowHeight="11.6" x14ac:dyDescent="0.3"/>
  <cols>
    <col min="1" max="1" width="8.765625" style="78"/>
    <col min="2" max="2" width="7.4609375" style="78" customWidth="1"/>
    <col min="3" max="3" width="8.765625" style="78"/>
    <col min="4" max="4" width="7.4609375" style="78" customWidth="1"/>
    <col min="5" max="5" width="8.765625" style="180"/>
    <col min="6" max="6" width="14.3046875" style="78" customWidth="1"/>
    <col min="7" max="7" width="5.3046875" style="78" customWidth="1"/>
    <col min="8" max="8" width="5.3046875" style="180" customWidth="1"/>
    <col min="9" max="32" width="5.3046875" style="78" customWidth="1"/>
    <col min="33" max="33" width="5.07421875" style="78" customWidth="1"/>
    <col min="34" max="16384" width="8.765625" style="78"/>
  </cols>
  <sheetData>
    <row r="1" spans="1:33" ht="102" customHeight="1" x14ac:dyDescent="0.35">
      <c r="A1" s="173" t="s">
        <v>115</v>
      </c>
      <c r="B1" s="173" t="s">
        <v>98</v>
      </c>
      <c r="C1" s="173" t="s">
        <v>116</v>
      </c>
      <c r="D1" s="173" t="s">
        <v>117</v>
      </c>
      <c r="E1" s="197" t="s">
        <v>0</v>
      </c>
      <c r="F1" s="173" t="s">
        <v>25</v>
      </c>
      <c r="G1" s="179" t="s">
        <v>5</v>
      </c>
      <c r="H1" s="179" t="s">
        <v>6</v>
      </c>
      <c r="I1" s="179" t="s">
        <v>1</v>
      </c>
      <c r="J1" s="179" t="s">
        <v>7</v>
      </c>
      <c r="K1" s="179" t="s">
        <v>4</v>
      </c>
      <c r="L1" s="179" t="s">
        <v>3</v>
      </c>
      <c r="M1" s="179" t="s">
        <v>2</v>
      </c>
      <c r="N1" s="179" t="s">
        <v>118</v>
      </c>
      <c r="O1" s="179" t="s">
        <v>86</v>
      </c>
      <c r="P1" s="179" t="s">
        <v>88</v>
      </c>
      <c r="Q1" s="179" t="s">
        <v>96</v>
      </c>
      <c r="R1" s="179" t="s">
        <v>22</v>
      </c>
      <c r="S1" s="179" t="s">
        <v>94</v>
      </c>
      <c r="T1" s="179" t="s">
        <v>57</v>
      </c>
      <c r="U1" s="179" t="s">
        <v>54</v>
      </c>
      <c r="V1" s="179" t="s">
        <v>119</v>
      </c>
      <c r="W1" s="179" t="s">
        <v>56</v>
      </c>
      <c r="X1" s="179" t="s">
        <v>53</v>
      </c>
      <c r="Y1" s="179" t="s">
        <v>17</v>
      </c>
      <c r="Z1" s="179" t="s">
        <v>93</v>
      </c>
      <c r="AA1" s="179" t="s">
        <v>120</v>
      </c>
      <c r="AB1" s="179" t="s">
        <v>8</v>
      </c>
      <c r="AC1" s="179" t="s">
        <v>23</v>
      </c>
      <c r="AD1" s="179" t="s">
        <v>49</v>
      </c>
      <c r="AE1" s="179" t="s">
        <v>121</v>
      </c>
      <c r="AF1" s="179" t="s">
        <v>151</v>
      </c>
      <c r="AG1" s="179" t="s">
        <v>13</v>
      </c>
    </row>
    <row r="2" spans="1:33" ht="25.75" x14ac:dyDescent="0.35">
      <c r="A2" s="173">
        <v>2012</v>
      </c>
      <c r="B2" s="173" t="s">
        <v>99</v>
      </c>
      <c r="C2" s="173" t="s">
        <v>124</v>
      </c>
      <c r="D2" s="173" t="s">
        <v>125</v>
      </c>
      <c r="E2" s="197">
        <v>30</v>
      </c>
      <c r="F2" s="198" t="s">
        <v>89</v>
      </c>
      <c r="G2" s="200"/>
      <c r="H2" s="178">
        <v>3</v>
      </c>
      <c r="I2" s="200"/>
      <c r="J2" s="178"/>
      <c r="K2" s="178"/>
      <c r="L2" s="178"/>
      <c r="M2" s="178"/>
      <c r="N2" s="200"/>
      <c r="O2" s="178"/>
      <c r="P2" s="200"/>
      <c r="Q2" s="200"/>
      <c r="R2" s="178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178"/>
      <c r="AF2" s="178"/>
      <c r="AG2" s="200"/>
    </row>
    <row r="3" spans="1:33" ht="12.9" x14ac:dyDescent="0.35">
      <c r="A3" s="173">
        <v>2012</v>
      </c>
      <c r="B3" s="173" t="s">
        <v>99</v>
      </c>
      <c r="C3" s="173" t="s">
        <v>124</v>
      </c>
      <c r="D3" s="173" t="s">
        <v>126</v>
      </c>
      <c r="E3" s="197">
        <v>38</v>
      </c>
      <c r="F3" s="199" t="s">
        <v>43</v>
      </c>
      <c r="G3" s="200"/>
      <c r="H3" s="178">
        <v>1</v>
      </c>
      <c r="I3" s="200"/>
      <c r="J3" s="200"/>
      <c r="K3" s="200"/>
      <c r="L3" s="178"/>
      <c r="M3" s="200"/>
      <c r="N3" s="200"/>
      <c r="O3" s="178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178"/>
      <c r="AF3" s="178"/>
      <c r="AG3" s="200"/>
    </row>
    <row r="4" spans="1:33" ht="12.9" x14ac:dyDescent="0.35">
      <c r="A4" s="173">
        <v>2012</v>
      </c>
      <c r="B4" s="173" t="s">
        <v>99</v>
      </c>
      <c r="C4" s="173" t="s">
        <v>124</v>
      </c>
      <c r="D4" s="173" t="s">
        <v>127</v>
      </c>
      <c r="E4" s="197">
        <v>58</v>
      </c>
      <c r="F4" s="199" t="s">
        <v>44</v>
      </c>
      <c r="G4" s="200"/>
      <c r="H4" s="200">
        <v>1</v>
      </c>
      <c r="I4" s="200"/>
      <c r="J4" s="178"/>
      <c r="K4" s="200"/>
      <c r="L4" s="178">
        <v>1</v>
      </c>
      <c r="M4" s="178"/>
      <c r="N4" s="200"/>
      <c r="O4" s="178"/>
      <c r="P4" s="200"/>
      <c r="Q4" s="200"/>
      <c r="R4" s="178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178"/>
      <c r="AF4" s="178"/>
      <c r="AG4" s="200"/>
    </row>
    <row r="5" spans="1:33" ht="12.9" x14ac:dyDescent="0.35">
      <c r="A5" s="173">
        <v>2012</v>
      </c>
      <c r="B5" s="173" t="s">
        <v>99</v>
      </c>
      <c r="C5" s="173" t="s">
        <v>124</v>
      </c>
      <c r="D5" s="173" t="s">
        <v>128</v>
      </c>
      <c r="E5" s="197">
        <v>61</v>
      </c>
      <c r="F5" s="199" t="s">
        <v>45</v>
      </c>
      <c r="G5" s="200"/>
      <c r="H5" s="178">
        <v>4</v>
      </c>
      <c r="I5" s="200">
        <v>2</v>
      </c>
      <c r="J5" s="178"/>
      <c r="K5" s="178"/>
      <c r="L5" s="178"/>
      <c r="M5" s="200"/>
      <c r="N5" s="200"/>
      <c r="O5" s="178"/>
      <c r="P5" s="200"/>
      <c r="Q5" s="200"/>
      <c r="R5" s="178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178"/>
      <c r="AF5" s="178"/>
      <c r="AG5" s="200"/>
    </row>
    <row r="6" spans="1:33" ht="12.9" x14ac:dyDescent="0.35">
      <c r="A6" s="173">
        <v>2012</v>
      </c>
      <c r="B6" s="173" t="s">
        <v>99</v>
      </c>
      <c r="C6" s="173" t="s">
        <v>124</v>
      </c>
      <c r="D6" s="173" t="s">
        <v>129</v>
      </c>
      <c r="E6" s="197">
        <v>62</v>
      </c>
      <c r="F6" s="199" t="s">
        <v>130</v>
      </c>
      <c r="G6" s="200"/>
      <c r="H6" s="200">
        <v>3</v>
      </c>
      <c r="I6" s="200"/>
      <c r="J6" s="200">
        <v>1</v>
      </c>
      <c r="K6" s="200"/>
      <c r="L6" s="178"/>
      <c r="M6" s="178">
        <v>1</v>
      </c>
      <c r="N6" s="200"/>
      <c r="O6" s="178"/>
      <c r="P6" s="200"/>
      <c r="Q6" s="200"/>
      <c r="R6" s="178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178"/>
      <c r="AF6" s="178"/>
      <c r="AG6" s="200"/>
    </row>
    <row r="7" spans="1:33" ht="12.9" x14ac:dyDescent="0.35">
      <c r="A7" s="173">
        <v>2012</v>
      </c>
      <c r="B7" s="173" t="s">
        <v>99</v>
      </c>
      <c r="C7" s="173" t="s">
        <v>124</v>
      </c>
      <c r="D7" s="173" t="s">
        <v>131</v>
      </c>
      <c r="E7" s="197">
        <v>65</v>
      </c>
      <c r="F7" s="199" t="s">
        <v>47</v>
      </c>
      <c r="G7" s="200"/>
      <c r="H7" s="178">
        <v>1</v>
      </c>
      <c r="I7" s="200"/>
      <c r="J7" s="200"/>
      <c r="K7" s="178"/>
      <c r="L7" s="178"/>
      <c r="M7" s="178"/>
      <c r="N7" s="200"/>
      <c r="O7" s="178"/>
      <c r="P7" s="200"/>
      <c r="Q7" s="200"/>
      <c r="R7" s="178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178"/>
      <c r="AF7" s="178"/>
      <c r="AG7" s="200"/>
    </row>
    <row r="8" spans="1:33" ht="12.9" x14ac:dyDescent="0.35">
      <c r="A8" s="173">
        <v>2012</v>
      </c>
      <c r="B8" s="173" t="s">
        <v>100</v>
      </c>
      <c r="C8" s="173" t="s">
        <v>124</v>
      </c>
      <c r="D8" s="173" t="s">
        <v>132</v>
      </c>
      <c r="E8" s="197">
        <v>66</v>
      </c>
      <c r="F8" s="199" t="s">
        <v>52</v>
      </c>
      <c r="G8" s="200"/>
      <c r="H8" s="178">
        <v>7</v>
      </c>
      <c r="I8" s="200"/>
      <c r="J8" s="200"/>
      <c r="K8" s="200"/>
      <c r="L8" s="178"/>
      <c r="M8" s="178">
        <v>1</v>
      </c>
      <c r="N8" s="200"/>
      <c r="O8" s="178">
        <v>1</v>
      </c>
      <c r="P8" s="200"/>
      <c r="Q8" s="200"/>
      <c r="R8" s="178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178"/>
      <c r="AF8" s="178"/>
      <c r="AG8" s="200"/>
    </row>
    <row r="9" spans="1:33" ht="12.9" x14ac:dyDescent="0.35">
      <c r="A9" s="173">
        <v>2012</v>
      </c>
      <c r="B9" s="173" t="s">
        <v>100</v>
      </c>
      <c r="C9" s="173" t="s">
        <v>124</v>
      </c>
      <c r="D9" s="173" t="s">
        <v>133</v>
      </c>
      <c r="E9" s="197">
        <v>69</v>
      </c>
      <c r="F9" s="199" t="s">
        <v>33</v>
      </c>
      <c r="G9" s="200"/>
      <c r="H9" s="178"/>
      <c r="I9" s="200">
        <v>1</v>
      </c>
      <c r="J9" s="178"/>
      <c r="K9" s="178"/>
      <c r="L9" s="178"/>
      <c r="M9" s="178"/>
      <c r="N9" s="200"/>
      <c r="O9" s="178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178"/>
      <c r="AF9" s="178"/>
      <c r="AG9" s="200"/>
    </row>
    <row r="10" spans="1:33" ht="12.9" x14ac:dyDescent="0.35">
      <c r="A10" s="173">
        <v>2012</v>
      </c>
      <c r="B10" s="173" t="s">
        <v>99</v>
      </c>
      <c r="C10" s="173" t="s">
        <v>124</v>
      </c>
      <c r="D10" s="173" t="s">
        <v>134</v>
      </c>
      <c r="E10" s="197">
        <v>70</v>
      </c>
      <c r="F10" s="199" t="s">
        <v>27</v>
      </c>
      <c r="G10" s="200"/>
      <c r="H10" s="178"/>
      <c r="I10" s="200"/>
      <c r="J10" s="178"/>
      <c r="K10" s="178"/>
      <c r="L10" s="200"/>
      <c r="M10" s="178"/>
      <c r="N10" s="200"/>
      <c r="O10" s="178"/>
      <c r="P10" s="200"/>
      <c r="Q10" s="200"/>
      <c r="R10" s="178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178"/>
      <c r="AF10" s="178"/>
      <c r="AG10" s="200"/>
    </row>
    <row r="11" spans="1:33" ht="12.9" x14ac:dyDescent="0.35">
      <c r="A11" s="173"/>
      <c r="B11" s="173"/>
      <c r="C11" s="173"/>
      <c r="D11" s="173"/>
      <c r="E11" s="197">
        <v>71</v>
      </c>
      <c r="F11" s="199" t="s">
        <v>28</v>
      </c>
      <c r="G11" s="200">
        <v>1</v>
      </c>
      <c r="H11" s="200"/>
      <c r="I11" s="201">
        <v>2</v>
      </c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</row>
    <row r="12" spans="1:33" ht="12.9" x14ac:dyDescent="0.35">
      <c r="A12" s="173">
        <v>2012</v>
      </c>
      <c r="B12" s="173" t="s">
        <v>100</v>
      </c>
      <c r="C12" s="173" t="s">
        <v>124</v>
      </c>
      <c r="D12" s="173" t="s">
        <v>136</v>
      </c>
      <c r="E12" s="197">
        <v>72</v>
      </c>
      <c r="F12" s="199" t="s">
        <v>34</v>
      </c>
      <c r="G12" s="200"/>
      <c r="H12" s="178">
        <v>10</v>
      </c>
      <c r="I12" s="200"/>
      <c r="J12" s="178"/>
      <c r="K12" s="178"/>
      <c r="L12" s="178"/>
      <c r="M12" s="178"/>
      <c r="N12" s="200"/>
      <c r="O12" s="178"/>
      <c r="P12" s="200"/>
      <c r="Q12" s="200"/>
      <c r="R12" s="178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178"/>
      <c r="AF12" s="178"/>
      <c r="AG12" s="200" t="s">
        <v>154</v>
      </c>
    </row>
    <row r="13" spans="1:33" ht="18" customHeight="1" x14ac:dyDescent="0.35">
      <c r="A13" s="173">
        <v>2012</v>
      </c>
      <c r="B13" s="173" t="s">
        <v>100</v>
      </c>
      <c r="C13" s="173" t="s">
        <v>124</v>
      </c>
      <c r="D13" s="173" t="s">
        <v>137</v>
      </c>
      <c r="E13" s="197">
        <v>73</v>
      </c>
      <c r="F13" s="199" t="s">
        <v>50</v>
      </c>
      <c r="G13" s="200"/>
      <c r="H13" s="178"/>
      <c r="I13" s="200" t="s">
        <v>20</v>
      </c>
      <c r="J13" s="178"/>
      <c r="K13" s="178"/>
      <c r="L13" s="178"/>
      <c r="M13" s="178"/>
      <c r="N13" s="200"/>
      <c r="O13" s="178"/>
      <c r="P13" s="200"/>
      <c r="Q13" s="200"/>
      <c r="R13" s="178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178"/>
      <c r="AF13" s="178"/>
      <c r="AG13" s="200"/>
    </row>
    <row r="14" spans="1:33" ht="12.9" x14ac:dyDescent="0.35">
      <c r="A14" s="173">
        <v>2012</v>
      </c>
      <c r="B14" s="173" t="s">
        <v>100</v>
      </c>
      <c r="C14" s="173" t="s">
        <v>124</v>
      </c>
      <c r="D14" s="173" t="s">
        <v>138</v>
      </c>
      <c r="E14" s="197">
        <v>74</v>
      </c>
      <c r="F14" s="199" t="s">
        <v>37</v>
      </c>
      <c r="G14" s="200"/>
      <c r="H14" s="178">
        <v>1</v>
      </c>
      <c r="I14" s="200"/>
      <c r="J14" s="178"/>
      <c r="K14" s="178"/>
      <c r="L14" s="178"/>
      <c r="M14" s="178"/>
      <c r="N14" s="200"/>
      <c r="O14" s="178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178"/>
      <c r="AF14" s="178"/>
      <c r="AG14" s="200"/>
    </row>
    <row r="15" spans="1:33" ht="12.9" x14ac:dyDescent="0.35">
      <c r="A15" s="173">
        <v>2012</v>
      </c>
      <c r="B15" s="173" t="s">
        <v>100</v>
      </c>
      <c r="C15" s="173" t="s">
        <v>124</v>
      </c>
      <c r="D15" s="173" t="s">
        <v>139</v>
      </c>
      <c r="E15" s="197">
        <v>75</v>
      </c>
      <c r="F15" s="199" t="s">
        <v>38</v>
      </c>
      <c r="G15" s="200"/>
      <c r="H15" s="178"/>
      <c r="I15" s="200"/>
      <c r="J15" s="178"/>
      <c r="K15" s="178"/>
      <c r="L15" s="178"/>
      <c r="M15" s="178"/>
      <c r="N15" s="200"/>
      <c r="O15" s="200"/>
      <c r="P15" s="200"/>
      <c r="Q15" s="200"/>
      <c r="R15" s="178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178"/>
      <c r="AF15" s="178"/>
      <c r="AG15" s="200"/>
    </row>
    <row r="16" spans="1:33" ht="12.9" x14ac:dyDescent="0.35">
      <c r="A16" s="173">
        <v>2012</v>
      </c>
      <c r="B16" s="173" t="s">
        <v>100</v>
      </c>
      <c r="C16" s="173" t="s">
        <v>124</v>
      </c>
      <c r="D16" s="173" t="s">
        <v>140</v>
      </c>
      <c r="E16" s="197">
        <v>76</v>
      </c>
      <c r="F16" s="199" t="s">
        <v>39</v>
      </c>
      <c r="G16" s="200"/>
      <c r="H16" s="178">
        <v>1</v>
      </c>
      <c r="I16" s="200">
        <v>1</v>
      </c>
      <c r="J16" s="178"/>
      <c r="K16" s="178"/>
      <c r="L16" s="178"/>
      <c r="M16" s="178"/>
      <c r="N16" s="200"/>
      <c r="O16" s="178"/>
      <c r="P16" s="200"/>
      <c r="Q16" s="200"/>
      <c r="R16" s="178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178"/>
      <c r="AF16" s="178"/>
      <c r="AG16" s="200"/>
    </row>
    <row r="17" spans="1:33" ht="12.9" x14ac:dyDescent="0.35">
      <c r="A17" s="173">
        <v>2012</v>
      </c>
      <c r="B17" s="173" t="s">
        <v>100</v>
      </c>
      <c r="C17" s="173" t="s">
        <v>124</v>
      </c>
      <c r="D17" s="173" t="s">
        <v>141</v>
      </c>
      <c r="E17" s="197">
        <v>78</v>
      </c>
      <c r="F17" s="199" t="s">
        <v>40</v>
      </c>
      <c r="G17" s="200"/>
      <c r="H17" s="178">
        <v>1</v>
      </c>
      <c r="I17" s="200"/>
      <c r="J17" s="178"/>
      <c r="K17" s="200"/>
      <c r="L17" s="178"/>
      <c r="M17" s="178"/>
      <c r="N17" s="200"/>
      <c r="O17" s="178">
        <v>1</v>
      </c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178"/>
      <c r="AF17" s="178"/>
      <c r="AG17" s="200"/>
    </row>
    <row r="18" spans="1:33" ht="12.9" x14ac:dyDescent="0.35">
      <c r="A18" s="173">
        <v>2012</v>
      </c>
      <c r="B18" s="173" t="s">
        <v>99</v>
      </c>
      <c r="C18" s="173" t="s">
        <v>124</v>
      </c>
      <c r="D18" s="173" t="s">
        <v>142</v>
      </c>
      <c r="E18" s="197">
        <v>79</v>
      </c>
      <c r="F18" s="199" t="s">
        <v>29</v>
      </c>
      <c r="G18" s="200"/>
      <c r="H18" s="178"/>
      <c r="I18" s="200"/>
      <c r="J18" s="178"/>
      <c r="K18" s="178"/>
      <c r="L18" s="178"/>
      <c r="M18" s="178"/>
      <c r="N18" s="200"/>
      <c r="O18" s="178"/>
      <c r="P18" s="200"/>
      <c r="Q18" s="200">
        <v>1</v>
      </c>
      <c r="R18" s="178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</row>
    <row r="19" spans="1:33" ht="12.9" x14ac:dyDescent="0.35">
      <c r="A19" s="173">
        <v>2012</v>
      </c>
      <c r="B19" s="173" t="s">
        <v>99</v>
      </c>
      <c r="C19" s="173" t="s">
        <v>124</v>
      </c>
      <c r="D19" s="173" t="s">
        <v>143</v>
      </c>
      <c r="E19" s="197">
        <v>80</v>
      </c>
      <c r="F19" s="199" t="s">
        <v>30</v>
      </c>
      <c r="G19" s="200"/>
      <c r="H19" s="178"/>
      <c r="I19" s="200"/>
      <c r="J19" s="178"/>
      <c r="K19" s="178"/>
      <c r="L19" s="178"/>
      <c r="M19" s="178"/>
      <c r="N19" s="200"/>
      <c r="O19" s="178"/>
      <c r="P19" s="200"/>
      <c r="Q19" s="200"/>
      <c r="R19" s="178"/>
      <c r="S19" s="200"/>
      <c r="T19" s="200"/>
      <c r="U19" s="200"/>
      <c r="V19" s="200"/>
      <c r="W19" s="200">
        <v>1</v>
      </c>
      <c r="X19" s="200"/>
      <c r="Y19" s="200"/>
      <c r="Z19" s="200"/>
      <c r="AA19" s="200"/>
      <c r="AB19" s="200"/>
      <c r="AC19" s="200"/>
      <c r="AD19" s="200"/>
      <c r="AE19" s="178"/>
      <c r="AF19" s="178"/>
      <c r="AG19" s="200"/>
    </row>
    <row r="20" spans="1:33" ht="12.9" x14ac:dyDescent="0.35">
      <c r="A20" s="173">
        <v>2012</v>
      </c>
      <c r="B20" s="173" t="s">
        <v>99</v>
      </c>
      <c r="C20" s="173" t="s">
        <v>124</v>
      </c>
      <c r="D20" s="173" t="s">
        <v>144</v>
      </c>
      <c r="E20" s="197">
        <v>81</v>
      </c>
      <c r="F20" s="199" t="s">
        <v>31</v>
      </c>
      <c r="G20" s="200"/>
      <c r="H20" s="201">
        <v>1</v>
      </c>
      <c r="I20" s="202"/>
      <c r="J20" s="202"/>
      <c r="K20" s="178"/>
      <c r="L20" s="178"/>
      <c r="M20" s="178"/>
      <c r="N20" s="200"/>
      <c r="O20" s="178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178"/>
      <c r="AF20" s="178"/>
      <c r="AG20" s="200"/>
    </row>
    <row r="21" spans="1:33" ht="12.9" x14ac:dyDescent="0.35">
      <c r="A21" s="173">
        <v>2012</v>
      </c>
      <c r="B21" s="173" t="s">
        <v>99</v>
      </c>
      <c r="C21" s="173" t="s">
        <v>124</v>
      </c>
      <c r="D21" s="173" t="s">
        <v>145</v>
      </c>
      <c r="E21" s="197">
        <v>82</v>
      </c>
      <c r="F21" s="199" t="s">
        <v>32</v>
      </c>
      <c r="G21" s="200"/>
      <c r="H21" s="178"/>
      <c r="I21" s="200">
        <v>3</v>
      </c>
      <c r="J21" s="178"/>
      <c r="K21" s="178"/>
      <c r="L21" s="178"/>
      <c r="M21" s="200"/>
      <c r="N21" s="200"/>
      <c r="O21" s="178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178"/>
      <c r="AF21" s="178"/>
      <c r="AG21" s="200"/>
    </row>
    <row r="22" spans="1:33" ht="12.9" x14ac:dyDescent="0.35">
      <c r="A22" s="173">
        <v>2012</v>
      </c>
      <c r="B22" s="173" t="s">
        <v>100</v>
      </c>
      <c r="C22" s="173" t="s">
        <v>124</v>
      </c>
      <c r="D22" s="173" t="s">
        <v>146</v>
      </c>
      <c r="E22" s="197">
        <v>83</v>
      </c>
      <c r="F22" s="199" t="s">
        <v>26</v>
      </c>
      <c r="G22" s="200"/>
      <c r="H22" s="178"/>
      <c r="I22" s="200">
        <v>1</v>
      </c>
      <c r="J22" s="178"/>
      <c r="K22" s="178"/>
      <c r="L22" s="178"/>
      <c r="M22" s="200"/>
      <c r="N22" s="200"/>
      <c r="O22" s="178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178"/>
      <c r="AF22" s="178"/>
      <c r="AG22" s="200"/>
    </row>
    <row r="23" spans="1:33" ht="12.9" x14ac:dyDescent="0.35">
      <c r="A23" s="173">
        <v>2012</v>
      </c>
      <c r="B23" s="173" t="s">
        <v>100</v>
      </c>
      <c r="C23" s="173" t="s">
        <v>124</v>
      </c>
      <c r="D23" s="173" t="s">
        <v>147</v>
      </c>
      <c r="E23" s="197">
        <v>84</v>
      </c>
      <c r="F23" s="199" t="s">
        <v>41</v>
      </c>
      <c r="G23" s="200"/>
      <c r="H23" s="178">
        <v>5</v>
      </c>
      <c r="I23" s="200">
        <v>3</v>
      </c>
      <c r="J23" s="178"/>
      <c r="K23" s="178"/>
      <c r="L23" s="178"/>
      <c r="M23" s="178"/>
      <c r="N23" s="200"/>
      <c r="O23" s="178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178"/>
      <c r="AF23" s="178"/>
      <c r="AG23" s="200"/>
    </row>
    <row r="24" spans="1:33" ht="12.9" x14ac:dyDescent="0.35">
      <c r="A24" s="173">
        <v>2012</v>
      </c>
      <c r="B24" s="173" t="s">
        <v>100</v>
      </c>
      <c r="C24" s="173" t="s">
        <v>124</v>
      </c>
      <c r="D24" s="173" t="s">
        <v>148</v>
      </c>
      <c r="E24" s="197">
        <v>85</v>
      </c>
      <c r="F24" s="199" t="s">
        <v>48</v>
      </c>
      <c r="G24" s="200"/>
      <c r="H24" s="178">
        <v>5</v>
      </c>
      <c r="I24" s="200">
        <v>4</v>
      </c>
      <c r="J24" s="178"/>
      <c r="K24" s="178"/>
      <c r="L24" s="178"/>
      <c r="M24" s="200"/>
      <c r="N24" s="200"/>
      <c r="O24" s="178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178"/>
      <c r="AF24" s="178"/>
      <c r="AG24" s="200"/>
    </row>
    <row r="25" spans="1:33" ht="12.9" x14ac:dyDescent="0.35">
      <c r="A25" s="173">
        <v>2012</v>
      </c>
      <c r="B25" s="173" t="s">
        <v>100</v>
      </c>
      <c r="C25" s="173" t="s">
        <v>124</v>
      </c>
      <c r="D25" s="173" t="s">
        <v>149</v>
      </c>
      <c r="E25" s="197">
        <v>86</v>
      </c>
      <c r="F25" s="199" t="s">
        <v>35</v>
      </c>
      <c r="G25" s="200">
        <v>1</v>
      </c>
      <c r="H25" s="178">
        <v>47</v>
      </c>
      <c r="I25" s="200">
        <v>1</v>
      </c>
      <c r="J25" s="178"/>
      <c r="K25" s="178"/>
      <c r="L25" s="178"/>
      <c r="M25" s="178"/>
      <c r="N25" s="200"/>
      <c r="O25" s="178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178"/>
      <c r="AF25" s="178"/>
      <c r="AG25" s="200"/>
    </row>
    <row r="26" spans="1:33" ht="12.9" x14ac:dyDescent="0.35">
      <c r="A26" s="173">
        <v>2012</v>
      </c>
      <c r="B26" s="173" t="s">
        <v>100</v>
      </c>
      <c r="C26" s="173" t="s">
        <v>124</v>
      </c>
      <c r="D26" s="173" t="s">
        <v>150</v>
      </c>
      <c r="E26" s="197">
        <v>87</v>
      </c>
      <c r="F26" s="199" t="s">
        <v>36</v>
      </c>
      <c r="G26" s="200">
        <v>1</v>
      </c>
      <c r="H26" s="178">
        <v>23</v>
      </c>
      <c r="I26" s="200">
        <v>12</v>
      </c>
      <c r="J26" s="178">
        <v>1</v>
      </c>
      <c r="K26" s="178"/>
      <c r="L26" s="178">
        <v>1</v>
      </c>
      <c r="M26" s="178"/>
      <c r="N26" s="200"/>
      <c r="O26" s="178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178"/>
      <c r="AF26" s="178"/>
      <c r="AG26" s="200" t="s">
        <v>153</v>
      </c>
    </row>
    <row r="27" spans="1:33" ht="12" x14ac:dyDescent="0.35">
      <c r="F27" s="78" t="s">
        <v>9</v>
      </c>
      <c r="G27" s="202">
        <f>SUM(G2:G26)</f>
        <v>3</v>
      </c>
      <c r="H27" s="202">
        <f t="shared" ref="H27:AF27" si="0">SUM(H2:H26)</f>
        <v>114</v>
      </c>
      <c r="I27" s="202">
        <f t="shared" si="0"/>
        <v>30</v>
      </c>
      <c r="J27" s="202">
        <f t="shared" si="0"/>
        <v>2</v>
      </c>
      <c r="K27" s="202" t="s">
        <v>20</v>
      </c>
      <c r="L27" s="202">
        <f t="shared" si="0"/>
        <v>2</v>
      </c>
      <c r="M27" s="202">
        <f t="shared" si="0"/>
        <v>2</v>
      </c>
      <c r="N27" s="202">
        <f t="shared" si="0"/>
        <v>0</v>
      </c>
      <c r="O27" s="202">
        <f t="shared" si="0"/>
        <v>2</v>
      </c>
      <c r="P27" s="202">
        <f t="shared" si="0"/>
        <v>0</v>
      </c>
      <c r="Q27" s="202">
        <f t="shared" si="0"/>
        <v>1</v>
      </c>
      <c r="R27" s="202">
        <f t="shared" si="0"/>
        <v>0</v>
      </c>
      <c r="S27" s="202">
        <f t="shared" si="0"/>
        <v>0</v>
      </c>
      <c r="T27" s="202">
        <f t="shared" si="0"/>
        <v>0</v>
      </c>
      <c r="U27" s="202">
        <f t="shared" si="0"/>
        <v>0</v>
      </c>
      <c r="V27" s="202">
        <f t="shared" si="0"/>
        <v>0</v>
      </c>
      <c r="W27" s="202">
        <f t="shared" si="0"/>
        <v>1</v>
      </c>
      <c r="X27" s="202">
        <f t="shared" si="0"/>
        <v>0</v>
      </c>
      <c r="Y27" s="202">
        <f t="shared" si="0"/>
        <v>0</v>
      </c>
      <c r="Z27" s="202">
        <f t="shared" si="0"/>
        <v>0</v>
      </c>
      <c r="AA27" s="202">
        <f t="shared" si="0"/>
        <v>0</v>
      </c>
      <c r="AB27" s="202">
        <f t="shared" si="0"/>
        <v>0</v>
      </c>
      <c r="AC27" s="202">
        <f t="shared" si="0"/>
        <v>0</v>
      </c>
      <c r="AD27" s="202">
        <f t="shared" si="0"/>
        <v>0</v>
      </c>
      <c r="AE27" s="202">
        <f t="shared" si="0"/>
        <v>0</v>
      </c>
      <c r="AF27" s="202">
        <f t="shared" si="0"/>
        <v>0</v>
      </c>
      <c r="AG27" s="202"/>
    </row>
    <row r="28" spans="1:33" ht="12" x14ac:dyDescent="0.35">
      <c r="F28" s="78" t="s">
        <v>70</v>
      </c>
      <c r="G28" s="202">
        <f>G27/25</f>
        <v>0.12</v>
      </c>
      <c r="H28" s="201">
        <f t="shared" ref="H28:AF28" si="1">H27/25</f>
        <v>4.5599999999999996</v>
      </c>
      <c r="I28" s="202">
        <f t="shared" si="1"/>
        <v>1.2</v>
      </c>
      <c r="J28" s="202">
        <f t="shared" si="1"/>
        <v>0.08</v>
      </c>
      <c r="K28" s="202" t="s">
        <v>20</v>
      </c>
      <c r="L28" s="202">
        <f t="shared" si="1"/>
        <v>0.08</v>
      </c>
      <c r="M28" s="202">
        <f t="shared" si="1"/>
        <v>0.08</v>
      </c>
      <c r="N28" s="202">
        <f t="shared" si="1"/>
        <v>0</v>
      </c>
      <c r="O28" s="202">
        <f t="shared" si="1"/>
        <v>0.08</v>
      </c>
      <c r="P28" s="202">
        <f t="shared" si="1"/>
        <v>0</v>
      </c>
      <c r="Q28" s="202">
        <f t="shared" si="1"/>
        <v>0.04</v>
      </c>
      <c r="R28" s="202">
        <f t="shared" si="1"/>
        <v>0</v>
      </c>
      <c r="S28" s="202">
        <f t="shared" si="1"/>
        <v>0</v>
      </c>
      <c r="T28" s="202">
        <f t="shared" si="1"/>
        <v>0</v>
      </c>
      <c r="U28" s="202">
        <f t="shared" si="1"/>
        <v>0</v>
      </c>
      <c r="V28" s="202">
        <f t="shared" si="1"/>
        <v>0</v>
      </c>
      <c r="W28" s="202">
        <f t="shared" si="1"/>
        <v>0.04</v>
      </c>
      <c r="X28" s="202">
        <f t="shared" si="1"/>
        <v>0</v>
      </c>
      <c r="Y28" s="202">
        <f t="shared" si="1"/>
        <v>0</v>
      </c>
      <c r="Z28" s="202">
        <f t="shared" si="1"/>
        <v>0</v>
      </c>
      <c r="AA28" s="202">
        <f t="shared" si="1"/>
        <v>0</v>
      </c>
      <c r="AB28" s="202">
        <f t="shared" si="1"/>
        <v>0</v>
      </c>
      <c r="AC28" s="202">
        <f t="shared" si="1"/>
        <v>0</v>
      </c>
      <c r="AD28" s="202">
        <f t="shared" si="1"/>
        <v>0</v>
      </c>
      <c r="AE28" s="202">
        <f t="shared" si="1"/>
        <v>0</v>
      </c>
      <c r="AF28" s="202">
        <f t="shared" si="1"/>
        <v>0</v>
      </c>
      <c r="AG28" s="202"/>
    </row>
    <row r="29" spans="1:33" ht="12" x14ac:dyDescent="0.35">
      <c r="F29" s="78" t="s">
        <v>73</v>
      </c>
      <c r="G29" s="202">
        <v>1</v>
      </c>
      <c r="H29" s="201">
        <f>H27/16</f>
        <v>7.125</v>
      </c>
      <c r="I29" s="202">
        <v>3</v>
      </c>
      <c r="J29" s="202">
        <v>1</v>
      </c>
      <c r="K29" s="202"/>
      <c r="L29" s="202">
        <v>1</v>
      </c>
      <c r="M29" s="202">
        <v>1</v>
      </c>
      <c r="N29" s="202"/>
      <c r="O29" s="202">
        <v>1</v>
      </c>
      <c r="P29" s="202"/>
      <c r="Q29" s="202">
        <v>1</v>
      </c>
      <c r="R29" s="202"/>
      <c r="S29" s="202"/>
      <c r="T29" s="202"/>
      <c r="U29" s="202"/>
      <c r="V29" s="202"/>
      <c r="W29" s="202">
        <v>1</v>
      </c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59999389629810485"/>
  </sheetPr>
  <dimension ref="A1:AI29"/>
  <sheetViews>
    <sheetView zoomScale="70" zoomScaleNormal="70" workbookViewId="0">
      <selection activeCell="G12" sqref="G12:G17"/>
    </sheetView>
  </sheetViews>
  <sheetFormatPr defaultColWidth="8.765625" defaultRowHeight="11.6" x14ac:dyDescent="0.3"/>
  <cols>
    <col min="1" max="1" width="8.765625" style="78"/>
    <col min="2" max="2" width="7.4609375" style="78" customWidth="1"/>
    <col min="3" max="3" width="8.765625" style="78"/>
    <col min="4" max="4" width="7.4609375" style="78" customWidth="1"/>
    <col min="5" max="5" width="8.765625" style="180"/>
    <col min="6" max="6" width="14.3046875" style="78" customWidth="1"/>
    <col min="7" max="32" width="5.3046875" style="78" customWidth="1"/>
    <col min="33" max="33" width="5.07421875" style="78" customWidth="1"/>
    <col min="34" max="16384" width="8.765625" style="78"/>
  </cols>
  <sheetData>
    <row r="1" spans="1:35" ht="102" customHeight="1" x14ac:dyDescent="0.35">
      <c r="A1" s="173" t="s">
        <v>115</v>
      </c>
      <c r="B1" s="173" t="s">
        <v>98</v>
      </c>
      <c r="C1" s="173" t="s">
        <v>116</v>
      </c>
      <c r="D1" s="173" t="s">
        <v>117</v>
      </c>
      <c r="E1" s="193" t="s">
        <v>0</v>
      </c>
      <c r="F1" s="173" t="s">
        <v>25</v>
      </c>
      <c r="G1" s="179" t="s">
        <v>5</v>
      </c>
      <c r="H1" s="179" t="s">
        <v>6</v>
      </c>
      <c r="I1" s="179" t="s">
        <v>1</v>
      </c>
      <c r="J1" s="179" t="s">
        <v>7</v>
      </c>
      <c r="K1" s="179" t="s">
        <v>4</v>
      </c>
      <c r="L1" s="179" t="s">
        <v>3</v>
      </c>
      <c r="M1" s="179" t="s">
        <v>2</v>
      </c>
      <c r="N1" s="179" t="s">
        <v>118</v>
      </c>
      <c r="O1" s="179" t="s">
        <v>86</v>
      </c>
      <c r="P1" s="179" t="s">
        <v>88</v>
      </c>
      <c r="Q1" s="179" t="s">
        <v>96</v>
      </c>
      <c r="R1" s="179" t="s">
        <v>22</v>
      </c>
      <c r="S1" s="179" t="s">
        <v>94</v>
      </c>
      <c r="T1" s="179" t="s">
        <v>57</v>
      </c>
      <c r="U1" s="179" t="s">
        <v>54</v>
      </c>
      <c r="V1" s="179" t="s">
        <v>119</v>
      </c>
      <c r="W1" s="179" t="s">
        <v>56</v>
      </c>
      <c r="X1" s="179" t="s">
        <v>53</v>
      </c>
      <c r="Y1" s="179" t="s">
        <v>17</v>
      </c>
      <c r="Z1" s="179" t="s">
        <v>93</v>
      </c>
      <c r="AA1" s="179" t="s">
        <v>120</v>
      </c>
      <c r="AB1" s="179" t="s">
        <v>8</v>
      </c>
      <c r="AC1" s="179" t="s">
        <v>23</v>
      </c>
      <c r="AD1" s="179" t="s">
        <v>49</v>
      </c>
      <c r="AE1" s="179" t="s">
        <v>121</v>
      </c>
      <c r="AF1" s="179" t="s">
        <v>151</v>
      </c>
      <c r="AG1" s="179" t="s">
        <v>13</v>
      </c>
    </row>
    <row r="2" spans="1:35" ht="25.75" x14ac:dyDescent="0.35">
      <c r="A2" s="173">
        <v>2012</v>
      </c>
      <c r="B2" s="173" t="s">
        <v>99</v>
      </c>
      <c r="C2" s="173" t="s">
        <v>124</v>
      </c>
      <c r="D2" s="173" t="s">
        <v>125</v>
      </c>
      <c r="E2" s="193">
        <v>30</v>
      </c>
      <c r="F2" s="196" t="s">
        <v>89</v>
      </c>
      <c r="G2" s="194"/>
      <c r="H2" s="178"/>
      <c r="I2" s="194"/>
      <c r="J2" s="178"/>
      <c r="K2" s="178"/>
      <c r="L2" s="178"/>
      <c r="M2" s="178"/>
      <c r="N2" s="194"/>
      <c r="O2" s="178"/>
      <c r="P2" s="194"/>
      <c r="Q2" s="194"/>
      <c r="R2" s="178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78"/>
      <c r="AF2" s="178"/>
      <c r="AG2" s="194"/>
      <c r="AI2" s="181">
        <v>30</v>
      </c>
    </row>
    <row r="3" spans="1:35" ht="12.9" x14ac:dyDescent="0.35">
      <c r="A3" s="173">
        <v>2012</v>
      </c>
      <c r="B3" s="173" t="s">
        <v>99</v>
      </c>
      <c r="C3" s="173" t="s">
        <v>124</v>
      </c>
      <c r="D3" s="173" t="s">
        <v>126</v>
      </c>
      <c r="E3" s="193">
        <v>38</v>
      </c>
      <c r="F3" s="195" t="s">
        <v>43</v>
      </c>
      <c r="G3" s="194"/>
      <c r="H3" s="178"/>
      <c r="I3" s="194"/>
      <c r="J3" s="194"/>
      <c r="K3" s="194"/>
      <c r="L3" s="178"/>
      <c r="M3" s="194"/>
      <c r="N3" s="194"/>
      <c r="O3" s="178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78"/>
      <c r="AF3" s="178"/>
      <c r="AG3" s="194"/>
      <c r="AI3" s="181">
        <v>38</v>
      </c>
    </row>
    <row r="4" spans="1:35" ht="12.9" x14ac:dyDescent="0.35">
      <c r="A4" s="173">
        <v>2012</v>
      </c>
      <c r="B4" s="173" t="s">
        <v>99</v>
      </c>
      <c r="C4" s="173" t="s">
        <v>124</v>
      </c>
      <c r="D4" s="173" t="s">
        <v>127</v>
      </c>
      <c r="E4" s="193">
        <v>58</v>
      </c>
      <c r="F4" s="195" t="s">
        <v>44</v>
      </c>
      <c r="G4" s="194"/>
      <c r="H4" s="194"/>
      <c r="I4" s="194"/>
      <c r="J4" s="178"/>
      <c r="K4" s="194"/>
      <c r="L4" s="178"/>
      <c r="M4" s="178"/>
      <c r="N4" s="194"/>
      <c r="O4" s="178"/>
      <c r="P4" s="194"/>
      <c r="Q4" s="194"/>
      <c r="R4" s="178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78"/>
      <c r="AF4" s="178"/>
      <c r="AG4" s="194"/>
      <c r="AI4" s="181">
        <v>58</v>
      </c>
    </row>
    <row r="5" spans="1:35" ht="12.9" x14ac:dyDescent="0.35">
      <c r="A5" s="173">
        <v>2012</v>
      </c>
      <c r="B5" s="173" t="s">
        <v>99</v>
      </c>
      <c r="C5" s="173" t="s">
        <v>124</v>
      </c>
      <c r="D5" s="173" t="s">
        <v>128</v>
      </c>
      <c r="E5" s="193">
        <v>61</v>
      </c>
      <c r="F5" s="195" t="s">
        <v>45</v>
      </c>
      <c r="G5" s="194"/>
      <c r="H5" s="178"/>
      <c r="I5" s="194"/>
      <c r="J5" s="178"/>
      <c r="K5" s="178"/>
      <c r="L5" s="178"/>
      <c r="M5" s="194"/>
      <c r="N5" s="194"/>
      <c r="O5" s="178"/>
      <c r="P5" s="194"/>
      <c r="Q5" s="194"/>
      <c r="R5" s="178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78"/>
      <c r="AF5" s="178"/>
      <c r="AG5" s="194"/>
      <c r="AI5" s="181">
        <v>61</v>
      </c>
    </row>
    <row r="6" spans="1:35" ht="12.9" x14ac:dyDescent="0.35">
      <c r="A6" s="173">
        <v>2012</v>
      </c>
      <c r="B6" s="173" t="s">
        <v>99</v>
      </c>
      <c r="C6" s="173" t="s">
        <v>124</v>
      </c>
      <c r="D6" s="173" t="s">
        <v>129</v>
      </c>
      <c r="E6" s="193">
        <v>62</v>
      </c>
      <c r="F6" s="195" t="s">
        <v>130</v>
      </c>
      <c r="G6" s="194"/>
      <c r="H6" s="194"/>
      <c r="I6" s="194"/>
      <c r="J6" s="194"/>
      <c r="K6" s="194"/>
      <c r="L6" s="178"/>
      <c r="M6" s="178"/>
      <c r="N6" s="194"/>
      <c r="O6" s="178"/>
      <c r="P6" s="194"/>
      <c r="Q6" s="194"/>
      <c r="R6" s="178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78"/>
      <c r="AF6" s="178"/>
      <c r="AG6" s="194"/>
      <c r="AI6" s="181">
        <v>62</v>
      </c>
    </row>
    <row r="7" spans="1:35" ht="12.9" x14ac:dyDescent="0.35">
      <c r="A7" s="173">
        <v>2012</v>
      </c>
      <c r="B7" s="173" t="s">
        <v>99</v>
      </c>
      <c r="C7" s="173" t="s">
        <v>124</v>
      </c>
      <c r="D7" s="173" t="s">
        <v>131</v>
      </c>
      <c r="E7" s="193">
        <v>65</v>
      </c>
      <c r="F7" s="195" t="s">
        <v>47</v>
      </c>
      <c r="G7" s="194"/>
      <c r="H7" s="178"/>
      <c r="I7" s="194"/>
      <c r="J7" s="194"/>
      <c r="K7" s="178"/>
      <c r="L7" s="178"/>
      <c r="M7" s="178"/>
      <c r="N7" s="194"/>
      <c r="O7" s="178"/>
      <c r="P7" s="194"/>
      <c r="Q7" s="194"/>
      <c r="R7" s="178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78"/>
      <c r="AF7" s="178"/>
      <c r="AG7" s="194"/>
      <c r="AI7" s="181">
        <v>65</v>
      </c>
    </row>
    <row r="8" spans="1:35" ht="12.9" x14ac:dyDescent="0.35">
      <c r="A8" s="173">
        <v>2012</v>
      </c>
      <c r="B8" s="173" t="s">
        <v>100</v>
      </c>
      <c r="C8" s="173" t="s">
        <v>124</v>
      </c>
      <c r="D8" s="173" t="s">
        <v>132</v>
      </c>
      <c r="E8" s="193">
        <v>66</v>
      </c>
      <c r="F8" s="173" t="s">
        <v>52</v>
      </c>
      <c r="G8" s="194">
        <f>2+1+0</f>
        <v>3</v>
      </c>
      <c r="H8" s="178">
        <v>2</v>
      </c>
      <c r="I8" s="194"/>
      <c r="J8" s="194">
        <v>3</v>
      </c>
      <c r="K8" s="194"/>
      <c r="L8" s="178"/>
      <c r="M8" s="178"/>
      <c r="N8" s="194"/>
      <c r="O8" s="178"/>
      <c r="P8" s="194"/>
      <c r="Q8" s="194"/>
      <c r="R8" s="178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78"/>
      <c r="AF8" s="178"/>
      <c r="AG8" s="194"/>
      <c r="AI8" s="181">
        <v>66</v>
      </c>
    </row>
    <row r="9" spans="1:35" ht="12.9" x14ac:dyDescent="0.35">
      <c r="A9" s="173">
        <v>2012</v>
      </c>
      <c r="B9" s="173" t="s">
        <v>100</v>
      </c>
      <c r="C9" s="173" t="s">
        <v>124</v>
      </c>
      <c r="D9" s="173" t="s">
        <v>133</v>
      </c>
      <c r="E9" s="193">
        <v>69</v>
      </c>
      <c r="F9" s="173" t="s">
        <v>33</v>
      </c>
      <c r="G9" s="194">
        <v>0</v>
      </c>
      <c r="H9" s="178"/>
      <c r="I9" s="194">
        <v>2</v>
      </c>
      <c r="J9" s="178"/>
      <c r="K9" s="178"/>
      <c r="L9" s="178"/>
      <c r="M9" s="178"/>
      <c r="N9" s="194"/>
      <c r="O9" s="178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>
        <v>1</v>
      </c>
      <c r="AA9" s="194"/>
      <c r="AB9" s="194"/>
      <c r="AC9" s="194"/>
      <c r="AD9" s="194"/>
      <c r="AE9" s="178"/>
      <c r="AF9" s="178"/>
      <c r="AG9" s="194"/>
      <c r="AI9" s="181">
        <v>70</v>
      </c>
    </row>
    <row r="10" spans="1:35" ht="12.9" x14ac:dyDescent="0.35">
      <c r="A10" s="173">
        <v>2012</v>
      </c>
      <c r="B10" s="173" t="s">
        <v>99</v>
      </c>
      <c r="C10" s="173" t="s">
        <v>124</v>
      </c>
      <c r="D10" s="173" t="s">
        <v>134</v>
      </c>
      <c r="E10" s="193">
        <v>70</v>
      </c>
      <c r="F10" s="195" t="s">
        <v>27</v>
      </c>
      <c r="G10" s="194"/>
      <c r="H10" s="178"/>
      <c r="I10" s="194"/>
      <c r="J10" s="178"/>
      <c r="K10" s="178"/>
      <c r="L10" s="194"/>
      <c r="M10" s="178"/>
      <c r="N10" s="194"/>
      <c r="O10" s="178"/>
      <c r="P10" s="194"/>
      <c r="Q10" s="194"/>
      <c r="R10" s="178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78"/>
      <c r="AF10" s="178"/>
      <c r="AG10" s="194"/>
      <c r="AI10" s="181">
        <v>71</v>
      </c>
    </row>
    <row r="11" spans="1:35" ht="12.9" x14ac:dyDescent="0.35">
      <c r="A11" s="173"/>
      <c r="B11" s="173"/>
      <c r="C11" s="173"/>
      <c r="D11" s="173"/>
      <c r="E11" s="193">
        <v>71</v>
      </c>
      <c r="F11" s="195" t="s">
        <v>28</v>
      </c>
      <c r="G11" s="194"/>
      <c r="H11" s="194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I11" s="181">
        <v>79</v>
      </c>
    </row>
    <row r="12" spans="1:35" ht="12.9" x14ac:dyDescent="0.35">
      <c r="A12" s="173">
        <v>2012</v>
      </c>
      <c r="B12" s="173" t="s">
        <v>100</v>
      </c>
      <c r="C12" s="173" t="s">
        <v>124</v>
      </c>
      <c r="D12" s="173" t="s">
        <v>136</v>
      </c>
      <c r="E12" s="193">
        <v>72</v>
      </c>
      <c r="F12" s="173" t="s">
        <v>34</v>
      </c>
      <c r="G12" s="194">
        <f>9+5+8</f>
        <v>22</v>
      </c>
      <c r="H12" s="178">
        <f>1+2+3</f>
        <v>6</v>
      </c>
      <c r="I12" s="194">
        <f>11+32+9</f>
        <v>52</v>
      </c>
      <c r="J12" s="178">
        <v>2</v>
      </c>
      <c r="K12" s="178"/>
      <c r="L12" s="178"/>
      <c r="M12" s="178">
        <v>1</v>
      </c>
      <c r="N12" s="194"/>
      <c r="O12" s="178"/>
      <c r="P12" s="194"/>
      <c r="Q12" s="194"/>
      <c r="R12" s="178"/>
      <c r="S12" s="194"/>
      <c r="T12" s="194"/>
      <c r="U12" s="194"/>
      <c r="V12" s="194"/>
      <c r="W12" s="194"/>
      <c r="X12" s="194"/>
      <c r="Y12" s="194"/>
      <c r="Z12" s="194">
        <v>1</v>
      </c>
      <c r="AA12" s="194"/>
      <c r="AB12" s="194"/>
      <c r="AC12" s="194"/>
      <c r="AD12" s="194"/>
      <c r="AE12" s="178"/>
      <c r="AF12" s="178"/>
      <c r="AG12" s="194"/>
      <c r="AI12" s="181">
        <v>80</v>
      </c>
    </row>
    <row r="13" spans="1:35" ht="18" customHeight="1" x14ac:dyDescent="0.35">
      <c r="A13" s="173">
        <v>2012</v>
      </c>
      <c r="B13" s="173" t="s">
        <v>100</v>
      </c>
      <c r="C13" s="173" t="s">
        <v>124</v>
      </c>
      <c r="D13" s="173" t="s">
        <v>137</v>
      </c>
      <c r="E13" s="193">
        <v>73</v>
      </c>
      <c r="F13" s="173" t="s">
        <v>50</v>
      </c>
      <c r="G13" s="194">
        <f>1+7+13</f>
        <v>21</v>
      </c>
      <c r="H13" s="178">
        <f>1+3</f>
        <v>4</v>
      </c>
      <c r="I13" s="194">
        <f>21+1</f>
        <v>22</v>
      </c>
      <c r="J13" s="178"/>
      <c r="K13" s="178">
        <f>1+4</f>
        <v>5</v>
      </c>
      <c r="L13" s="178"/>
      <c r="M13" s="178">
        <v>1</v>
      </c>
      <c r="N13" s="194"/>
      <c r="O13" s="178"/>
      <c r="P13" s="194"/>
      <c r="Q13" s="194"/>
      <c r="R13" s="178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78"/>
      <c r="AF13" s="178"/>
      <c r="AG13" s="194"/>
      <c r="AI13" s="181">
        <v>81</v>
      </c>
    </row>
    <row r="14" spans="1:35" ht="12.9" x14ac:dyDescent="0.35">
      <c r="A14" s="173">
        <v>2012</v>
      </c>
      <c r="B14" s="173" t="s">
        <v>100</v>
      </c>
      <c r="C14" s="173" t="s">
        <v>124</v>
      </c>
      <c r="D14" s="173" t="s">
        <v>138</v>
      </c>
      <c r="E14" s="193">
        <v>74</v>
      </c>
      <c r="F14" s="173" t="s">
        <v>37</v>
      </c>
      <c r="G14" s="194">
        <f>2+1+1</f>
        <v>4</v>
      </c>
      <c r="H14" s="178">
        <f>1</f>
        <v>1</v>
      </c>
      <c r="I14" s="194">
        <f>4+1+1</f>
        <v>6</v>
      </c>
      <c r="J14" s="178"/>
      <c r="K14" s="178"/>
      <c r="L14" s="178"/>
      <c r="M14" s="178"/>
      <c r="N14" s="194"/>
      <c r="O14" s="178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78"/>
      <c r="AF14" s="178"/>
      <c r="AG14" s="194"/>
      <c r="AI14" s="181">
        <v>82</v>
      </c>
    </row>
    <row r="15" spans="1:35" ht="12.9" x14ac:dyDescent="0.35">
      <c r="A15" s="173">
        <v>2012</v>
      </c>
      <c r="B15" s="173" t="s">
        <v>100</v>
      </c>
      <c r="C15" s="173" t="s">
        <v>124</v>
      </c>
      <c r="D15" s="173" t="s">
        <v>139</v>
      </c>
      <c r="E15" s="193">
        <v>75</v>
      </c>
      <c r="F15" s="173" t="s">
        <v>38</v>
      </c>
      <c r="G15" s="194">
        <f>1+11+4</f>
        <v>16</v>
      </c>
      <c r="H15" s="178">
        <v>1</v>
      </c>
      <c r="I15" s="194">
        <f>1+10</f>
        <v>11</v>
      </c>
      <c r="J15" s="178"/>
      <c r="K15" s="178"/>
      <c r="L15" s="178"/>
      <c r="M15" s="178"/>
      <c r="N15" s="194"/>
      <c r="O15" s="194"/>
      <c r="P15" s="194"/>
      <c r="Q15" s="194"/>
      <c r="R15" s="178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78"/>
      <c r="AF15" s="178"/>
      <c r="AG15" s="194"/>
      <c r="AI15" s="181"/>
    </row>
    <row r="16" spans="1:35" ht="12.9" x14ac:dyDescent="0.35">
      <c r="A16" s="173">
        <v>2012</v>
      </c>
      <c r="B16" s="173" t="s">
        <v>100</v>
      </c>
      <c r="C16" s="173" t="s">
        <v>124</v>
      </c>
      <c r="D16" s="173" t="s">
        <v>140</v>
      </c>
      <c r="E16" s="193">
        <v>76</v>
      </c>
      <c r="F16" s="173" t="s">
        <v>39</v>
      </c>
      <c r="G16" s="194">
        <v>1</v>
      </c>
      <c r="H16" s="178">
        <v>4</v>
      </c>
      <c r="I16" s="194">
        <f>16+5+6</f>
        <v>27</v>
      </c>
      <c r="J16" s="178"/>
      <c r="K16" s="178"/>
      <c r="L16" s="178"/>
      <c r="M16" s="178"/>
      <c r="N16" s="194"/>
      <c r="O16" s="178"/>
      <c r="P16" s="194"/>
      <c r="Q16" s="194"/>
      <c r="R16" s="178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78"/>
      <c r="AF16" s="178"/>
      <c r="AG16" s="194"/>
      <c r="AI16" s="181">
        <v>69</v>
      </c>
    </row>
    <row r="17" spans="1:35" ht="12.9" x14ac:dyDescent="0.35">
      <c r="A17" s="173">
        <v>2012</v>
      </c>
      <c r="B17" s="173" t="s">
        <v>100</v>
      </c>
      <c r="C17" s="173" t="s">
        <v>124</v>
      </c>
      <c r="D17" s="173" t="s">
        <v>141</v>
      </c>
      <c r="E17" s="193">
        <v>78</v>
      </c>
      <c r="F17" s="173" t="s">
        <v>40</v>
      </c>
      <c r="G17" s="194">
        <f>2+0+2</f>
        <v>4</v>
      </c>
      <c r="H17" s="178">
        <v>1</v>
      </c>
      <c r="I17" s="194">
        <v>1</v>
      </c>
      <c r="J17" s="178"/>
      <c r="K17" s="194"/>
      <c r="L17" s="178"/>
      <c r="M17" s="178"/>
      <c r="N17" s="194"/>
      <c r="O17" s="178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78"/>
      <c r="AF17" s="178"/>
      <c r="AG17" s="194"/>
      <c r="AI17" s="181">
        <v>72</v>
      </c>
    </row>
    <row r="18" spans="1:35" ht="12.9" x14ac:dyDescent="0.35">
      <c r="A18" s="173">
        <v>2012</v>
      </c>
      <c r="B18" s="173" t="s">
        <v>99</v>
      </c>
      <c r="C18" s="173" t="s">
        <v>124</v>
      </c>
      <c r="D18" s="173" t="s">
        <v>142</v>
      </c>
      <c r="E18" s="193">
        <v>79</v>
      </c>
      <c r="F18" s="195" t="s">
        <v>29</v>
      </c>
      <c r="G18" s="194"/>
      <c r="H18" s="178"/>
      <c r="I18" s="194"/>
      <c r="J18" s="178"/>
      <c r="K18" s="178"/>
      <c r="L18" s="178"/>
      <c r="M18" s="178"/>
      <c r="N18" s="194"/>
      <c r="O18" s="178"/>
      <c r="P18" s="194"/>
      <c r="Q18" s="194"/>
      <c r="R18" s="178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I18" s="181">
        <v>73</v>
      </c>
    </row>
    <row r="19" spans="1:35" ht="12.9" x14ac:dyDescent="0.35">
      <c r="A19" s="173">
        <v>2012</v>
      </c>
      <c r="B19" s="173" t="s">
        <v>99</v>
      </c>
      <c r="C19" s="173" t="s">
        <v>124</v>
      </c>
      <c r="D19" s="173" t="s">
        <v>143</v>
      </c>
      <c r="E19" s="193">
        <v>80</v>
      </c>
      <c r="F19" s="195" t="s">
        <v>30</v>
      </c>
      <c r="G19" s="194"/>
      <c r="H19" s="178"/>
      <c r="I19" s="194"/>
      <c r="J19" s="178"/>
      <c r="K19" s="178"/>
      <c r="L19" s="178"/>
      <c r="M19" s="178"/>
      <c r="N19" s="194"/>
      <c r="O19" s="178"/>
      <c r="P19" s="194"/>
      <c r="Q19" s="194"/>
      <c r="R19" s="178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78"/>
      <c r="AF19" s="178"/>
      <c r="AG19" s="194"/>
      <c r="AI19" s="181">
        <v>74</v>
      </c>
    </row>
    <row r="20" spans="1:35" ht="12.9" x14ac:dyDescent="0.35">
      <c r="A20" s="173">
        <v>2012</v>
      </c>
      <c r="B20" s="173" t="s">
        <v>99</v>
      </c>
      <c r="C20" s="173" t="s">
        <v>124</v>
      </c>
      <c r="D20" s="173" t="s">
        <v>144</v>
      </c>
      <c r="E20" s="193">
        <v>81</v>
      </c>
      <c r="F20" s="195" t="s">
        <v>31</v>
      </c>
      <c r="G20" s="194"/>
      <c r="K20" s="178"/>
      <c r="L20" s="178"/>
      <c r="M20" s="178"/>
      <c r="N20" s="194"/>
      <c r="O20" s="178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78"/>
      <c r="AF20" s="178"/>
      <c r="AG20" s="194"/>
      <c r="AI20" s="181">
        <v>75</v>
      </c>
    </row>
    <row r="21" spans="1:35" ht="12.9" x14ac:dyDescent="0.35">
      <c r="A21" s="173">
        <v>2012</v>
      </c>
      <c r="B21" s="173" t="s">
        <v>99</v>
      </c>
      <c r="C21" s="173" t="s">
        <v>124</v>
      </c>
      <c r="D21" s="173" t="s">
        <v>145</v>
      </c>
      <c r="E21" s="193">
        <v>82</v>
      </c>
      <c r="F21" s="195" t="s">
        <v>32</v>
      </c>
      <c r="G21" s="194"/>
      <c r="H21" s="178"/>
      <c r="I21" s="194"/>
      <c r="J21" s="178"/>
      <c r="K21" s="178"/>
      <c r="L21" s="178"/>
      <c r="M21" s="194"/>
      <c r="N21" s="194"/>
      <c r="O21" s="178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78"/>
      <c r="AF21" s="178"/>
      <c r="AG21" s="194"/>
      <c r="AI21" s="181">
        <v>76</v>
      </c>
    </row>
    <row r="22" spans="1:35" ht="12.9" x14ac:dyDescent="0.35">
      <c r="A22" s="173">
        <v>2012</v>
      </c>
      <c r="B22" s="173" t="s">
        <v>100</v>
      </c>
      <c r="C22" s="173" t="s">
        <v>124</v>
      </c>
      <c r="D22" s="173" t="s">
        <v>146</v>
      </c>
      <c r="E22" s="193">
        <v>83</v>
      </c>
      <c r="F22" s="173" t="s">
        <v>26</v>
      </c>
      <c r="G22" s="194">
        <f>3+2+7</f>
        <v>12</v>
      </c>
      <c r="H22" s="178">
        <f>0+5+3</f>
        <v>8</v>
      </c>
      <c r="I22" s="194">
        <f>4+0+0</f>
        <v>4</v>
      </c>
      <c r="J22" s="178"/>
      <c r="K22" s="178"/>
      <c r="L22" s="178"/>
      <c r="M22" s="194">
        <v>1</v>
      </c>
      <c r="N22" s="194"/>
      <c r="O22" s="178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78"/>
      <c r="AF22" s="178"/>
      <c r="AG22" s="194"/>
      <c r="AI22" s="181">
        <v>78</v>
      </c>
    </row>
    <row r="23" spans="1:35" ht="12.9" x14ac:dyDescent="0.35">
      <c r="A23" s="173">
        <v>2012</v>
      </c>
      <c r="B23" s="173" t="s">
        <v>100</v>
      </c>
      <c r="C23" s="173" t="s">
        <v>124</v>
      </c>
      <c r="D23" s="173" t="s">
        <v>147</v>
      </c>
      <c r="E23" s="193">
        <v>84</v>
      </c>
      <c r="F23" s="173" t="s">
        <v>41</v>
      </c>
      <c r="G23" s="194">
        <f>1+0+11</f>
        <v>12</v>
      </c>
      <c r="H23" s="178"/>
      <c r="I23" s="194">
        <f>3+41+50</f>
        <v>94</v>
      </c>
      <c r="J23" s="178"/>
      <c r="K23" s="178"/>
      <c r="L23" s="178"/>
      <c r="M23" s="178"/>
      <c r="N23" s="194"/>
      <c r="O23" s="178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>
        <v>1</v>
      </c>
      <c r="AA23" s="194"/>
      <c r="AB23" s="194"/>
      <c r="AC23" s="194"/>
      <c r="AD23" s="194"/>
      <c r="AE23" s="178"/>
      <c r="AF23" s="178"/>
      <c r="AG23" s="194"/>
      <c r="AI23" s="181">
        <v>83</v>
      </c>
    </row>
    <row r="24" spans="1:35" ht="12.9" x14ac:dyDescent="0.35">
      <c r="A24" s="173">
        <v>2012</v>
      </c>
      <c r="B24" s="173" t="s">
        <v>100</v>
      </c>
      <c r="C24" s="173" t="s">
        <v>124</v>
      </c>
      <c r="D24" s="173" t="s">
        <v>148</v>
      </c>
      <c r="E24" s="193">
        <v>85</v>
      </c>
      <c r="F24" s="173" t="s">
        <v>48</v>
      </c>
      <c r="G24" s="194">
        <f>0+0+1</f>
        <v>1</v>
      </c>
      <c r="H24" s="178"/>
      <c r="I24" s="194">
        <f>12+21+6</f>
        <v>39</v>
      </c>
      <c r="J24" s="178"/>
      <c r="K24" s="178"/>
      <c r="L24" s="178"/>
      <c r="M24" s="194"/>
      <c r="N24" s="194"/>
      <c r="O24" s="178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78"/>
      <c r="AF24" s="178"/>
      <c r="AG24" s="194"/>
      <c r="AI24" s="181">
        <v>84</v>
      </c>
    </row>
    <row r="25" spans="1:35" ht="12.9" x14ac:dyDescent="0.35">
      <c r="A25" s="173">
        <v>2012</v>
      </c>
      <c r="B25" s="173" t="s">
        <v>100</v>
      </c>
      <c r="C25" s="173" t="s">
        <v>124</v>
      </c>
      <c r="D25" s="173" t="s">
        <v>149</v>
      </c>
      <c r="E25" s="193">
        <v>86</v>
      </c>
      <c r="F25" s="173" t="s">
        <v>35</v>
      </c>
      <c r="G25" s="194">
        <f>9+12+5</f>
        <v>26</v>
      </c>
      <c r="H25" s="178"/>
      <c r="I25" s="194">
        <f>2+2+10</f>
        <v>14</v>
      </c>
      <c r="J25" s="178"/>
      <c r="K25" s="178"/>
      <c r="L25" s="178"/>
      <c r="M25" s="178"/>
      <c r="N25" s="194"/>
      <c r="O25" s="178"/>
      <c r="P25" s="194"/>
      <c r="Q25" s="194"/>
      <c r="R25" s="194">
        <v>1</v>
      </c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78"/>
      <c r="AF25" s="178"/>
      <c r="AG25" s="194"/>
      <c r="AI25" s="181">
        <v>85</v>
      </c>
    </row>
    <row r="26" spans="1:35" ht="12.9" x14ac:dyDescent="0.35">
      <c r="A26" s="173">
        <v>2012</v>
      </c>
      <c r="B26" s="173" t="s">
        <v>100</v>
      </c>
      <c r="C26" s="173" t="s">
        <v>124</v>
      </c>
      <c r="D26" s="173" t="s">
        <v>150</v>
      </c>
      <c r="E26" s="193">
        <v>87</v>
      </c>
      <c r="F26" s="173" t="s">
        <v>36</v>
      </c>
      <c r="G26" s="194">
        <f>9+7+6</f>
        <v>22</v>
      </c>
      <c r="H26" s="178">
        <f>7+9+18</f>
        <v>34</v>
      </c>
      <c r="I26" s="194">
        <f>14+8+49+14+60</f>
        <v>145</v>
      </c>
      <c r="J26" s="178"/>
      <c r="K26" s="178"/>
      <c r="L26" s="178"/>
      <c r="M26" s="178">
        <v>1</v>
      </c>
      <c r="N26" s="194"/>
      <c r="O26" s="178"/>
      <c r="P26" s="194">
        <v>1</v>
      </c>
      <c r="Q26" s="194"/>
      <c r="R26" s="194"/>
      <c r="S26" s="194"/>
      <c r="T26" s="194"/>
      <c r="U26" s="194"/>
      <c r="V26" s="194"/>
      <c r="W26" s="194"/>
      <c r="X26" s="194"/>
      <c r="Y26" s="194"/>
      <c r="Z26" s="194">
        <v>1</v>
      </c>
      <c r="AA26" s="194"/>
      <c r="AB26" s="194"/>
      <c r="AC26" s="194"/>
      <c r="AD26" s="194"/>
      <c r="AE26" s="178"/>
      <c r="AF26" s="178"/>
      <c r="AG26" s="194"/>
      <c r="AI26" s="181">
        <v>86</v>
      </c>
    </row>
    <row r="27" spans="1:35" ht="12.9" x14ac:dyDescent="0.35">
      <c r="F27" s="78" t="s">
        <v>9</v>
      </c>
      <c r="G27" s="78">
        <f>SUM(G2:G26)</f>
        <v>144</v>
      </c>
      <c r="H27" s="78">
        <f t="shared" ref="H27:AF27" si="0">SUM(H2:H26)</f>
        <v>61</v>
      </c>
      <c r="I27" s="78">
        <f t="shared" si="0"/>
        <v>417</v>
      </c>
      <c r="J27" s="78">
        <f t="shared" si="0"/>
        <v>5</v>
      </c>
      <c r="K27" s="78">
        <f t="shared" si="0"/>
        <v>5</v>
      </c>
      <c r="L27" s="78">
        <f t="shared" si="0"/>
        <v>0</v>
      </c>
      <c r="M27" s="78">
        <f t="shared" si="0"/>
        <v>4</v>
      </c>
      <c r="N27" s="78">
        <f t="shared" si="0"/>
        <v>0</v>
      </c>
      <c r="O27" s="78">
        <f t="shared" si="0"/>
        <v>0</v>
      </c>
      <c r="P27" s="78">
        <f t="shared" si="0"/>
        <v>1</v>
      </c>
      <c r="Q27" s="78">
        <f t="shared" si="0"/>
        <v>0</v>
      </c>
      <c r="R27" s="78">
        <f t="shared" si="0"/>
        <v>1</v>
      </c>
      <c r="S27" s="78">
        <f t="shared" si="0"/>
        <v>0</v>
      </c>
      <c r="T27" s="78">
        <f t="shared" si="0"/>
        <v>0</v>
      </c>
      <c r="U27" s="78">
        <f t="shared" si="0"/>
        <v>0</v>
      </c>
      <c r="V27" s="78">
        <f t="shared" si="0"/>
        <v>0</v>
      </c>
      <c r="W27" s="78">
        <f t="shared" si="0"/>
        <v>0</v>
      </c>
      <c r="X27" s="78">
        <f t="shared" si="0"/>
        <v>0</v>
      </c>
      <c r="Y27" s="78">
        <f t="shared" si="0"/>
        <v>0</v>
      </c>
      <c r="Z27" s="78">
        <f t="shared" si="0"/>
        <v>4</v>
      </c>
      <c r="AA27" s="78">
        <f t="shared" si="0"/>
        <v>0</v>
      </c>
      <c r="AB27" s="78">
        <f t="shared" si="0"/>
        <v>0</v>
      </c>
      <c r="AC27" s="78">
        <f t="shared" si="0"/>
        <v>0</v>
      </c>
      <c r="AD27" s="78">
        <f t="shared" si="0"/>
        <v>0</v>
      </c>
      <c r="AE27" s="78">
        <f t="shared" si="0"/>
        <v>0</v>
      </c>
      <c r="AF27" s="78">
        <f t="shared" si="0"/>
        <v>0</v>
      </c>
      <c r="AI27" s="181">
        <v>87</v>
      </c>
    </row>
    <row r="28" spans="1:35" x14ac:dyDescent="0.3">
      <c r="F28" s="78" t="s">
        <v>70</v>
      </c>
      <c r="G28" s="78">
        <f>G27/24</f>
        <v>6</v>
      </c>
      <c r="H28" s="78">
        <f t="shared" ref="H28:AF28" si="1">H27/24</f>
        <v>2.5416666666666665</v>
      </c>
      <c r="I28" s="78">
        <f t="shared" si="1"/>
        <v>17.375</v>
      </c>
      <c r="J28" s="78">
        <f t="shared" si="1"/>
        <v>0.20833333333333334</v>
      </c>
      <c r="K28" s="78">
        <f t="shared" si="1"/>
        <v>0.20833333333333334</v>
      </c>
      <c r="L28" s="78">
        <f t="shared" si="1"/>
        <v>0</v>
      </c>
      <c r="M28" s="78">
        <f t="shared" si="1"/>
        <v>0.16666666666666666</v>
      </c>
      <c r="N28" s="78">
        <f t="shared" si="1"/>
        <v>0</v>
      </c>
      <c r="O28" s="78">
        <f t="shared" si="1"/>
        <v>0</v>
      </c>
      <c r="P28" s="78">
        <f t="shared" si="1"/>
        <v>4.1666666666666664E-2</v>
      </c>
      <c r="Q28" s="78">
        <f t="shared" si="1"/>
        <v>0</v>
      </c>
      <c r="R28" s="78">
        <f t="shared" si="1"/>
        <v>4.1666666666666664E-2</v>
      </c>
      <c r="S28" s="78">
        <f t="shared" si="1"/>
        <v>0</v>
      </c>
      <c r="T28" s="78">
        <f t="shared" si="1"/>
        <v>0</v>
      </c>
      <c r="U28" s="78">
        <f t="shared" si="1"/>
        <v>0</v>
      </c>
      <c r="V28" s="78">
        <f t="shared" si="1"/>
        <v>0</v>
      </c>
      <c r="W28" s="78">
        <f t="shared" si="1"/>
        <v>0</v>
      </c>
      <c r="X28" s="78">
        <f t="shared" si="1"/>
        <v>0</v>
      </c>
      <c r="Y28" s="78">
        <f t="shared" si="1"/>
        <v>0</v>
      </c>
      <c r="Z28" s="78">
        <f t="shared" si="1"/>
        <v>0.16666666666666666</v>
      </c>
      <c r="AA28" s="78">
        <f t="shared" si="1"/>
        <v>0</v>
      </c>
      <c r="AB28" s="78">
        <f t="shared" si="1"/>
        <v>0</v>
      </c>
      <c r="AC28" s="78">
        <f t="shared" si="1"/>
        <v>0</v>
      </c>
      <c r="AD28" s="78">
        <f t="shared" si="1"/>
        <v>0</v>
      </c>
      <c r="AE28" s="78">
        <f t="shared" si="1"/>
        <v>0</v>
      </c>
      <c r="AF28" s="78">
        <f t="shared" si="1"/>
        <v>0</v>
      </c>
    </row>
    <row r="29" spans="1:35" x14ac:dyDescent="0.3">
      <c r="F29" s="78" t="s">
        <v>73</v>
      </c>
      <c r="G29" s="78">
        <f>G27/21</f>
        <v>6.8571428571428568</v>
      </c>
      <c r="H29" s="78">
        <v>2</v>
      </c>
      <c r="I29" s="78">
        <f>I27/25</f>
        <v>16.68</v>
      </c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 tint="0.59999389629810485"/>
  </sheetPr>
  <dimension ref="A1:AG29"/>
  <sheetViews>
    <sheetView topLeftCell="A10" zoomScaleNormal="100" workbookViewId="0">
      <selection activeCell="L1" sqref="L1"/>
    </sheetView>
  </sheetViews>
  <sheetFormatPr defaultColWidth="8.765625" defaultRowHeight="11.6" x14ac:dyDescent="0.3"/>
  <cols>
    <col min="1" max="1" width="8.765625" style="78"/>
    <col min="2" max="2" width="7.4609375" style="78" customWidth="1"/>
    <col min="3" max="3" width="8.765625" style="78"/>
    <col min="4" max="4" width="7.4609375" style="78" customWidth="1"/>
    <col min="5" max="5" width="8.765625" style="180"/>
    <col min="6" max="6" width="14.3046875" style="78" customWidth="1"/>
    <col min="7" max="32" width="5.3046875" style="78" customWidth="1"/>
    <col min="33" max="33" width="5.07421875" style="78" customWidth="1"/>
    <col min="34" max="16384" width="8.765625" style="78"/>
  </cols>
  <sheetData>
    <row r="1" spans="1:33" ht="102" customHeight="1" x14ac:dyDescent="0.35">
      <c r="A1" s="173" t="s">
        <v>115</v>
      </c>
      <c r="B1" s="173" t="s">
        <v>98</v>
      </c>
      <c r="C1" s="173" t="s">
        <v>116</v>
      </c>
      <c r="D1" s="173" t="s">
        <v>117</v>
      </c>
      <c r="E1" s="183" t="s">
        <v>0</v>
      </c>
      <c r="F1" s="173" t="s">
        <v>25</v>
      </c>
      <c r="G1" s="179" t="s">
        <v>5</v>
      </c>
      <c r="H1" s="179" t="s">
        <v>6</v>
      </c>
      <c r="I1" s="179" t="s">
        <v>1</v>
      </c>
      <c r="J1" s="179" t="s">
        <v>7</v>
      </c>
      <c r="K1" s="179" t="s">
        <v>4</v>
      </c>
      <c r="L1" s="179" t="s">
        <v>3</v>
      </c>
      <c r="M1" s="179" t="s">
        <v>2</v>
      </c>
      <c r="N1" s="179" t="s">
        <v>118</v>
      </c>
      <c r="O1" s="179" t="s">
        <v>86</v>
      </c>
      <c r="P1" s="179" t="s">
        <v>88</v>
      </c>
      <c r="Q1" s="179" t="s">
        <v>96</v>
      </c>
      <c r="R1" s="179" t="s">
        <v>22</v>
      </c>
      <c r="S1" s="179" t="s">
        <v>94</v>
      </c>
      <c r="T1" s="179" t="s">
        <v>57</v>
      </c>
      <c r="U1" s="179" t="s">
        <v>54</v>
      </c>
      <c r="V1" s="179" t="s">
        <v>119</v>
      </c>
      <c r="W1" s="179" t="s">
        <v>56</v>
      </c>
      <c r="X1" s="179" t="s">
        <v>53</v>
      </c>
      <c r="Y1" s="179" t="s">
        <v>17</v>
      </c>
      <c r="Z1" s="179" t="s">
        <v>93</v>
      </c>
      <c r="AA1" s="179" t="s">
        <v>120</v>
      </c>
      <c r="AB1" s="179" t="s">
        <v>8</v>
      </c>
      <c r="AC1" s="179" t="s">
        <v>23</v>
      </c>
      <c r="AD1" s="179" t="s">
        <v>49</v>
      </c>
      <c r="AE1" s="179" t="s">
        <v>121</v>
      </c>
      <c r="AF1" s="179" t="s">
        <v>151</v>
      </c>
      <c r="AG1" s="179" t="s">
        <v>13</v>
      </c>
    </row>
    <row r="2" spans="1:33" ht="12.9" x14ac:dyDescent="0.35">
      <c r="A2" s="173">
        <v>2012</v>
      </c>
      <c r="B2" s="173" t="s">
        <v>99</v>
      </c>
      <c r="C2" s="173" t="s">
        <v>124</v>
      </c>
      <c r="D2" s="173" t="s">
        <v>125</v>
      </c>
      <c r="E2" s="183">
        <v>30</v>
      </c>
      <c r="F2" s="173" t="s">
        <v>89</v>
      </c>
      <c r="G2" s="177">
        <v>0</v>
      </c>
      <c r="H2" s="178"/>
      <c r="I2" s="177">
        <v>11</v>
      </c>
      <c r="J2" s="178" t="s">
        <v>20</v>
      </c>
      <c r="K2" s="178"/>
      <c r="L2" s="178"/>
      <c r="M2" s="178"/>
      <c r="N2" s="177"/>
      <c r="O2" s="178"/>
      <c r="P2" s="177"/>
      <c r="Q2" s="177"/>
      <c r="R2" s="178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8"/>
      <c r="AF2" s="178"/>
      <c r="AG2" s="177" t="s">
        <v>14</v>
      </c>
    </row>
    <row r="3" spans="1:33" ht="12.9" x14ac:dyDescent="0.35">
      <c r="A3" s="173">
        <v>2012</v>
      </c>
      <c r="B3" s="173" t="s">
        <v>99</v>
      </c>
      <c r="C3" s="173" t="s">
        <v>124</v>
      </c>
      <c r="D3" s="173" t="s">
        <v>126</v>
      </c>
      <c r="E3" s="183">
        <v>38</v>
      </c>
      <c r="F3" s="173" t="s">
        <v>43</v>
      </c>
      <c r="G3" s="177">
        <v>0</v>
      </c>
      <c r="H3" s="178"/>
      <c r="I3" s="177">
        <v>0</v>
      </c>
      <c r="J3" s="177"/>
      <c r="K3" s="177"/>
      <c r="L3" s="178"/>
      <c r="M3" s="177">
        <v>1</v>
      </c>
      <c r="N3" s="177"/>
      <c r="O3" s="178"/>
      <c r="P3" s="177"/>
      <c r="Q3" s="177"/>
      <c r="R3" s="177">
        <v>2</v>
      </c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8"/>
      <c r="AF3" s="178"/>
      <c r="AG3" s="177" t="s">
        <v>14</v>
      </c>
    </row>
    <row r="4" spans="1:33" ht="12.9" x14ac:dyDescent="0.35">
      <c r="A4" s="173">
        <v>2012</v>
      </c>
      <c r="B4" s="173" t="s">
        <v>99</v>
      </c>
      <c r="C4" s="173" t="s">
        <v>124</v>
      </c>
      <c r="D4" s="173" t="s">
        <v>127</v>
      </c>
      <c r="E4" s="183">
        <v>58</v>
      </c>
      <c r="F4" s="173" t="s">
        <v>44</v>
      </c>
      <c r="G4" s="177">
        <v>0</v>
      </c>
      <c r="H4" s="177"/>
      <c r="I4" s="177">
        <v>0</v>
      </c>
      <c r="J4" s="178">
        <v>1</v>
      </c>
      <c r="K4" s="177"/>
      <c r="L4" s="178"/>
      <c r="M4" s="178">
        <v>1</v>
      </c>
      <c r="N4" s="177"/>
      <c r="O4" s="178"/>
      <c r="P4" s="177"/>
      <c r="Q4" s="177"/>
      <c r="R4" s="178">
        <v>1</v>
      </c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8"/>
      <c r="AF4" s="178"/>
      <c r="AG4" s="177" t="s">
        <v>14</v>
      </c>
    </row>
    <row r="5" spans="1:33" ht="12.9" x14ac:dyDescent="0.35">
      <c r="A5" s="173">
        <v>2012</v>
      </c>
      <c r="B5" s="173" t="s">
        <v>99</v>
      </c>
      <c r="C5" s="173" t="s">
        <v>124</v>
      </c>
      <c r="D5" s="173" t="s">
        <v>128</v>
      </c>
      <c r="E5" s="183">
        <v>61</v>
      </c>
      <c r="F5" s="173" t="s">
        <v>45</v>
      </c>
      <c r="G5" s="177">
        <v>0</v>
      </c>
      <c r="H5" s="178"/>
      <c r="I5" s="177">
        <v>0</v>
      </c>
      <c r="J5" s="178"/>
      <c r="K5" s="178"/>
      <c r="L5" s="178"/>
      <c r="M5" s="177">
        <v>2</v>
      </c>
      <c r="N5" s="177"/>
      <c r="O5" s="178">
        <v>1</v>
      </c>
      <c r="P5" s="177"/>
      <c r="Q5" s="177"/>
      <c r="R5" s="178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8"/>
      <c r="AF5" s="178"/>
      <c r="AG5" s="177" t="s">
        <v>14</v>
      </c>
    </row>
    <row r="6" spans="1:33" ht="12.9" x14ac:dyDescent="0.35">
      <c r="A6" s="173">
        <v>2012</v>
      </c>
      <c r="B6" s="173" t="s">
        <v>99</v>
      </c>
      <c r="C6" s="173" t="s">
        <v>124</v>
      </c>
      <c r="D6" s="173" t="s">
        <v>129</v>
      </c>
      <c r="E6" s="183">
        <v>62</v>
      </c>
      <c r="F6" s="173" t="s">
        <v>130</v>
      </c>
      <c r="G6" s="177">
        <v>0</v>
      </c>
      <c r="H6" s="177"/>
      <c r="I6" s="177">
        <v>0</v>
      </c>
      <c r="J6" s="177">
        <v>3</v>
      </c>
      <c r="K6" s="177"/>
      <c r="L6" s="178"/>
      <c r="M6" s="178"/>
      <c r="N6" s="177">
        <v>1</v>
      </c>
      <c r="O6" s="178"/>
      <c r="P6" s="177"/>
      <c r="Q6" s="177"/>
      <c r="R6" s="178">
        <v>5</v>
      </c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8"/>
      <c r="AF6" s="178"/>
      <c r="AG6" s="177" t="s">
        <v>14</v>
      </c>
    </row>
    <row r="7" spans="1:33" ht="12.9" x14ac:dyDescent="0.35">
      <c r="A7" s="173">
        <v>2012</v>
      </c>
      <c r="B7" s="173" t="s">
        <v>99</v>
      </c>
      <c r="C7" s="173" t="s">
        <v>124</v>
      </c>
      <c r="D7" s="173" t="s">
        <v>131</v>
      </c>
      <c r="E7" s="183">
        <v>65</v>
      </c>
      <c r="F7" s="173" t="s">
        <v>47</v>
      </c>
      <c r="G7" s="177">
        <v>2</v>
      </c>
      <c r="H7" s="178"/>
      <c r="I7" s="177">
        <v>2</v>
      </c>
      <c r="J7" s="177">
        <v>1</v>
      </c>
      <c r="K7" s="178"/>
      <c r="L7" s="178"/>
      <c r="M7" s="178">
        <v>1</v>
      </c>
      <c r="N7" s="177"/>
      <c r="O7" s="178"/>
      <c r="P7" s="177"/>
      <c r="Q7" s="177"/>
      <c r="R7" s="178">
        <v>1</v>
      </c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8"/>
      <c r="AF7" s="178"/>
      <c r="AG7" s="177" t="s">
        <v>14</v>
      </c>
    </row>
    <row r="8" spans="1:33" ht="12.9" x14ac:dyDescent="0.35">
      <c r="A8" s="173">
        <v>2012</v>
      </c>
      <c r="B8" s="173" t="s">
        <v>100</v>
      </c>
      <c r="C8" s="173" t="s">
        <v>124</v>
      </c>
      <c r="D8" s="173" t="s">
        <v>132</v>
      </c>
      <c r="E8" s="183">
        <v>66</v>
      </c>
      <c r="F8" s="173" t="s">
        <v>52</v>
      </c>
      <c r="G8" s="177">
        <v>12</v>
      </c>
      <c r="H8" s="178"/>
      <c r="I8" s="177">
        <v>9</v>
      </c>
      <c r="J8" s="177"/>
      <c r="K8" s="177">
        <v>1</v>
      </c>
      <c r="L8" s="178"/>
      <c r="M8" s="178"/>
      <c r="N8" s="177"/>
      <c r="O8" s="178"/>
      <c r="P8" s="177"/>
      <c r="Q8" s="177"/>
      <c r="R8" s="178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8"/>
      <c r="AF8" s="178"/>
      <c r="AG8" s="177" t="s">
        <v>14</v>
      </c>
    </row>
    <row r="9" spans="1:33" ht="12.9" x14ac:dyDescent="0.35">
      <c r="A9" s="173">
        <v>2012</v>
      </c>
      <c r="B9" s="173" t="s">
        <v>100</v>
      </c>
      <c r="C9" s="173" t="s">
        <v>124</v>
      </c>
      <c r="D9" s="173" t="s">
        <v>133</v>
      </c>
      <c r="E9" s="183">
        <v>69</v>
      </c>
      <c r="F9" s="173" t="s">
        <v>33</v>
      </c>
      <c r="G9" s="177">
        <v>1</v>
      </c>
      <c r="H9" s="178"/>
      <c r="I9" s="177">
        <v>2</v>
      </c>
      <c r="J9" s="178"/>
      <c r="K9" s="178"/>
      <c r="L9" s="178"/>
      <c r="M9" s="178"/>
      <c r="N9" s="177"/>
      <c r="O9" s="178"/>
      <c r="P9" s="177"/>
      <c r="Q9" s="177"/>
      <c r="R9" s="177">
        <v>1</v>
      </c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8"/>
      <c r="AF9" s="178">
        <v>1</v>
      </c>
      <c r="AG9" s="177" t="s">
        <v>14</v>
      </c>
    </row>
    <row r="10" spans="1:33" ht="12.9" x14ac:dyDescent="0.35">
      <c r="A10" s="173">
        <v>2012</v>
      </c>
      <c r="B10" s="173" t="s">
        <v>99</v>
      </c>
      <c r="C10" s="173" t="s">
        <v>124</v>
      </c>
      <c r="D10" s="173" t="s">
        <v>134</v>
      </c>
      <c r="E10" s="183">
        <v>70</v>
      </c>
      <c r="F10" s="173" t="s">
        <v>27</v>
      </c>
      <c r="G10" s="177">
        <v>0</v>
      </c>
      <c r="H10" s="178"/>
      <c r="I10" s="177">
        <v>8</v>
      </c>
      <c r="J10" s="178">
        <v>2</v>
      </c>
      <c r="K10" s="178"/>
      <c r="L10" s="177"/>
      <c r="M10" s="178"/>
      <c r="N10" s="177"/>
      <c r="O10" s="178"/>
      <c r="P10" s="177"/>
      <c r="Q10" s="177"/>
      <c r="R10" s="178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8"/>
      <c r="AF10" s="178"/>
      <c r="AG10" s="177" t="s">
        <v>14</v>
      </c>
    </row>
    <row r="11" spans="1:33" ht="12.9" x14ac:dyDescent="0.35">
      <c r="A11" s="173">
        <v>2012</v>
      </c>
      <c r="B11" s="173" t="s">
        <v>99</v>
      </c>
      <c r="C11" s="173" t="s">
        <v>124</v>
      </c>
      <c r="D11" s="173" t="s">
        <v>135</v>
      </c>
      <c r="E11" s="183">
        <v>71</v>
      </c>
      <c r="F11" s="173" t="s">
        <v>28</v>
      </c>
      <c r="G11" s="177"/>
      <c r="H11" s="277" t="s">
        <v>152</v>
      </c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</row>
    <row r="12" spans="1:33" ht="12.9" x14ac:dyDescent="0.35">
      <c r="A12" s="173">
        <v>2012</v>
      </c>
      <c r="B12" s="173" t="s">
        <v>100</v>
      </c>
      <c r="C12" s="173" t="s">
        <v>124</v>
      </c>
      <c r="D12" s="173" t="s">
        <v>136</v>
      </c>
      <c r="E12" s="183">
        <v>72</v>
      </c>
      <c r="F12" s="173" t="s">
        <v>34</v>
      </c>
      <c r="G12" s="177">
        <v>46</v>
      </c>
      <c r="H12" s="178"/>
      <c r="I12" s="177">
        <v>9</v>
      </c>
      <c r="J12" s="178"/>
      <c r="K12" s="178"/>
      <c r="L12" s="178"/>
      <c r="M12" s="178"/>
      <c r="N12" s="177"/>
      <c r="O12" s="178"/>
      <c r="P12" s="177">
        <v>1</v>
      </c>
      <c r="Q12" s="177"/>
      <c r="R12" s="178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8"/>
      <c r="AF12" s="178"/>
      <c r="AG12" s="177" t="s">
        <v>14</v>
      </c>
    </row>
    <row r="13" spans="1:33" ht="18" customHeight="1" x14ac:dyDescent="0.35">
      <c r="A13" s="173">
        <v>2012</v>
      </c>
      <c r="B13" s="173" t="s">
        <v>100</v>
      </c>
      <c r="C13" s="173" t="s">
        <v>124</v>
      </c>
      <c r="D13" s="173" t="s">
        <v>137</v>
      </c>
      <c r="E13" s="183">
        <v>73</v>
      </c>
      <c r="F13" s="173" t="s">
        <v>50</v>
      </c>
      <c r="G13" s="177">
        <v>31</v>
      </c>
      <c r="H13" s="178"/>
      <c r="I13" s="177">
        <v>0</v>
      </c>
      <c r="J13" s="178"/>
      <c r="K13" s="178">
        <v>1</v>
      </c>
      <c r="L13" s="178"/>
      <c r="M13" s="178"/>
      <c r="N13" s="177"/>
      <c r="O13" s="178"/>
      <c r="P13" s="177"/>
      <c r="Q13" s="177"/>
      <c r="R13" s="178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8"/>
      <c r="AF13" s="178"/>
      <c r="AG13" s="177" t="s">
        <v>14</v>
      </c>
    </row>
    <row r="14" spans="1:33" ht="12.9" x14ac:dyDescent="0.35">
      <c r="A14" s="173">
        <v>2012</v>
      </c>
      <c r="B14" s="173" t="s">
        <v>100</v>
      </c>
      <c r="C14" s="173" t="s">
        <v>124</v>
      </c>
      <c r="D14" s="173" t="s">
        <v>138</v>
      </c>
      <c r="E14" s="183">
        <v>74</v>
      </c>
      <c r="F14" s="173" t="s">
        <v>37</v>
      </c>
      <c r="G14" s="177">
        <v>15</v>
      </c>
      <c r="H14" s="178"/>
      <c r="I14" s="177">
        <v>1</v>
      </c>
      <c r="J14" s="178"/>
      <c r="K14" s="178"/>
      <c r="L14" s="178"/>
      <c r="M14" s="178"/>
      <c r="N14" s="177"/>
      <c r="O14" s="178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8"/>
      <c r="AF14" s="178"/>
      <c r="AG14" s="177" t="s">
        <v>15</v>
      </c>
    </row>
    <row r="15" spans="1:33" ht="12.9" x14ac:dyDescent="0.35">
      <c r="A15" s="173">
        <v>2012</v>
      </c>
      <c r="B15" s="173" t="s">
        <v>100</v>
      </c>
      <c r="C15" s="173" t="s">
        <v>124</v>
      </c>
      <c r="D15" s="173" t="s">
        <v>139</v>
      </c>
      <c r="E15" s="183">
        <v>75</v>
      </c>
      <c r="F15" s="173" t="s">
        <v>38</v>
      </c>
      <c r="G15" s="177">
        <v>19</v>
      </c>
      <c r="H15" s="178"/>
      <c r="I15" s="177">
        <v>12</v>
      </c>
      <c r="J15" s="178"/>
      <c r="K15" s="178"/>
      <c r="L15" s="178"/>
      <c r="M15" s="178"/>
      <c r="N15" s="177"/>
      <c r="O15" s="177">
        <v>1</v>
      </c>
      <c r="P15" s="177"/>
      <c r="Q15" s="177"/>
      <c r="R15" s="178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8"/>
      <c r="AF15" s="178"/>
      <c r="AG15" s="177" t="s">
        <v>14</v>
      </c>
    </row>
    <row r="16" spans="1:33" ht="12.9" x14ac:dyDescent="0.35">
      <c r="A16" s="173">
        <v>2012</v>
      </c>
      <c r="B16" s="173" t="s">
        <v>100</v>
      </c>
      <c r="C16" s="173" t="s">
        <v>124</v>
      </c>
      <c r="D16" s="173" t="s">
        <v>140</v>
      </c>
      <c r="E16" s="183">
        <v>76</v>
      </c>
      <c r="F16" s="173" t="s">
        <v>39</v>
      </c>
      <c r="G16" s="177">
        <v>68</v>
      </c>
      <c r="H16" s="178"/>
      <c r="I16" s="177">
        <v>2</v>
      </c>
      <c r="J16" s="178"/>
      <c r="K16" s="178"/>
      <c r="L16" s="178"/>
      <c r="M16" s="178"/>
      <c r="N16" s="177"/>
      <c r="O16" s="178"/>
      <c r="P16" s="177"/>
      <c r="Q16" s="177"/>
      <c r="R16" s="178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8"/>
      <c r="AF16" s="178"/>
      <c r="AG16" s="177" t="s">
        <v>14</v>
      </c>
    </row>
    <row r="17" spans="1:33" ht="12.9" x14ac:dyDescent="0.35">
      <c r="A17" s="173">
        <v>2012</v>
      </c>
      <c r="B17" s="173" t="s">
        <v>100</v>
      </c>
      <c r="C17" s="173" t="s">
        <v>124</v>
      </c>
      <c r="D17" s="173" t="s">
        <v>141</v>
      </c>
      <c r="E17" s="183">
        <v>78</v>
      </c>
      <c r="F17" s="173" t="s">
        <v>40</v>
      </c>
      <c r="G17" s="177">
        <v>19</v>
      </c>
      <c r="H17" s="178"/>
      <c r="I17" s="177"/>
      <c r="J17" s="178"/>
      <c r="K17" s="177"/>
      <c r="L17" s="178"/>
      <c r="M17" s="178"/>
      <c r="N17" s="177"/>
      <c r="O17" s="178"/>
      <c r="P17" s="177"/>
      <c r="Q17" s="177"/>
      <c r="R17" s="177">
        <v>3</v>
      </c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8"/>
      <c r="AF17" s="178"/>
      <c r="AG17" s="177" t="s">
        <v>14</v>
      </c>
    </row>
    <row r="18" spans="1:33" ht="12.9" x14ac:dyDescent="0.35">
      <c r="A18" s="173">
        <v>2012</v>
      </c>
      <c r="B18" s="173" t="s">
        <v>99</v>
      </c>
      <c r="C18" s="173" t="s">
        <v>124</v>
      </c>
      <c r="D18" s="173" t="s">
        <v>142</v>
      </c>
      <c r="E18" s="183">
        <v>79</v>
      </c>
      <c r="F18" s="173" t="s">
        <v>29</v>
      </c>
      <c r="G18" s="177">
        <v>0</v>
      </c>
      <c r="H18" s="178"/>
      <c r="I18" s="177">
        <v>40</v>
      </c>
      <c r="J18" s="178">
        <v>1</v>
      </c>
      <c r="K18" s="178"/>
      <c r="L18" s="178"/>
      <c r="M18" s="178"/>
      <c r="N18" s="177"/>
      <c r="O18" s="178"/>
      <c r="P18" s="177"/>
      <c r="Q18" s="177"/>
      <c r="R18" s="178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 t="s">
        <v>14</v>
      </c>
    </row>
    <row r="19" spans="1:33" ht="12.9" x14ac:dyDescent="0.35">
      <c r="A19" s="173">
        <v>2012</v>
      </c>
      <c r="B19" s="173" t="s">
        <v>99</v>
      </c>
      <c r="C19" s="173" t="s">
        <v>124</v>
      </c>
      <c r="D19" s="173" t="s">
        <v>143</v>
      </c>
      <c r="E19" s="183">
        <v>80</v>
      </c>
      <c r="F19" s="173" t="s">
        <v>30</v>
      </c>
      <c r="G19" s="177">
        <v>0</v>
      </c>
      <c r="H19" s="178">
        <v>1</v>
      </c>
      <c r="I19" s="177">
        <v>16</v>
      </c>
      <c r="J19" s="178">
        <v>2</v>
      </c>
      <c r="K19" s="178"/>
      <c r="L19" s="178"/>
      <c r="M19" s="178"/>
      <c r="N19" s="177"/>
      <c r="O19" s="178"/>
      <c r="P19" s="177"/>
      <c r="Q19" s="177"/>
      <c r="R19" s="178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8"/>
      <c r="AF19" s="178"/>
      <c r="AG19" s="177" t="s">
        <v>14</v>
      </c>
    </row>
    <row r="20" spans="1:33" ht="12.9" x14ac:dyDescent="0.35">
      <c r="A20" s="173">
        <v>2012</v>
      </c>
      <c r="B20" s="173" t="s">
        <v>99</v>
      </c>
      <c r="C20" s="173" t="s">
        <v>124</v>
      </c>
      <c r="D20" s="173" t="s">
        <v>144</v>
      </c>
      <c r="E20" s="183">
        <v>81</v>
      </c>
      <c r="F20" s="173" t="s">
        <v>31</v>
      </c>
      <c r="G20" s="177">
        <v>0</v>
      </c>
      <c r="K20" s="178"/>
      <c r="L20" s="178"/>
      <c r="M20" s="178"/>
      <c r="N20" s="177"/>
      <c r="O20" s="178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8"/>
      <c r="AF20" s="178"/>
      <c r="AG20" s="177" t="s">
        <v>14</v>
      </c>
    </row>
    <row r="21" spans="1:33" ht="12.9" x14ac:dyDescent="0.35">
      <c r="A21" s="173">
        <v>2012</v>
      </c>
      <c r="B21" s="173" t="s">
        <v>99</v>
      </c>
      <c r="C21" s="173" t="s">
        <v>124</v>
      </c>
      <c r="D21" s="173" t="s">
        <v>145</v>
      </c>
      <c r="E21" s="183">
        <v>82</v>
      </c>
      <c r="F21" s="173" t="s">
        <v>32</v>
      </c>
      <c r="G21" s="177">
        <v>8</v>
      </c>
      <c r="H21" s="178"/>
      <c r="I21" s="177">
        <v>12</v>
      </c>
      <c r="J21" s="178" t="s">
        <v>20</v>
      </c>
      <c r="K21" s="178"/>
      <c r="L21" s="178"/>
      <c r="M21" s="177"/>
      <c r="N21" s="177"/>
      <c r="O21" s="178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8"/>
      <c r="AF21" s="178"/>
      <c r="AG21" s="177" t="s">
        <v>14</v>
      </c>
    </row>
    <row r="22" spans="1:33" ht="12.9" x14ac:dyDescent="0.35">
      <c r="A22" s="173">
        <v>2012</v>
      </c>
      <c r="B22" s="173" t="s">
        <v>100</v>
      </c>
      <c r="C22" s="173" t="s">
        <v>124</v>
      </c>
      <c r="D22" s="173" t="s">
        <v>146</v>
      </c>
      <c r="E22" s="183">
        <v>83</v>
      </c>
      <c r="F22" s="173" t="s">
        <v>26</v>
      </c>
      <c r="G22" s="177">
        <v>17</v>
      </c>
      <c r="H22" s="178"/>
      <c r="I22" s="177">
        <v>19</v>
      </c>
      <c r="J22" s="178"/>
      <c r="K22" s="178"/>
      <c r="L22" s="178"/>
      <c r="M22" s="177"/>
      <c r="N22" s="177"/>
      <c r="O22" s="178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8"/>
      <c r="AF22" s="178"/>
      <c r="AG22" s="177" t="s">
        <v>14</v>
      </c>
    </row>
    <row r="23" spans="1:33" ht="12.9" x14ac:dyDescent="0.35">
      <c r="A23" s="173">
        <v>2012</v>
      </c>
      <c r="B23" s="173" t="s">
        <v>100</v>
      </c>
      <c r="C23" s="173" t="s">
        <v>124</v>
      </c>
      <c r="D23" s="173" t="s">
        <v>147</v>
      </c>
      <c r="E23" s="183">
        <v>84</v>
      </c>
      <c r="F23" s="173" t="s">
        <v>41</v>
      </c>
      <c r="G23" s="177">
        <v>53</v>
      </c>
      <c r="H23" s="178"/>
      <c r="I23" s="177">
        <v>55</v>
      </c>
      <c r="J23" s="178"/>
      <c r="K23" s="178"/>
      <c r="L23" s="178"/>
      <c r="M23" s="178"/>
      <c r="N23" s="177"/>
      <c r="O23" s="178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8"/>
      <c r="AF23" s="178"/>
      <c r="AG23" s="177" t="s">
        <v>15</v>
      </c>
    </row>
    <row r="24" spans="1:33" ht="12.9" x14ac:dyDescent="0.35">
      <c r="A24" s="173">
        <v>2012</v>
      </c>
      <c r="B24" s="173" t="s">
        <v>100</v>
      </c>
      <c r="C24" s="173" t="s">
        <v>124</v>
      </c>
      <c r="D24" s="173" t="s">
        <v>148</v>
      </c>
      <c r="E24" s="183">
        <v>85</v>
      </c>
      <c r="F24" s="173" t="s">
        <v>48</v>
      </c>
      <c r="G24" s="177">
        <v>11</v>
      </c>
      <c r="H24" s="178"/>
      <c r="I24" s="177">
        <v>30</v>
      </c>
      <c r="J24" s="178"/>
      <c r="K24" s="178"/>
      <c r="L24" s="178"/>
      <c r="M24" s="177"/>
      <c r="N24" s="177"/>
      <c r="O24" s="178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8"/>
      <c r="AF24" s="178"/>
      <c r="AG24" s="177" t="s">
        <v>14</v>
      </c>
    </row>
    <row r="25" spans="1:33" ht="12.9" x14ac:dyDescent="0.35">
      <c r="A25" s="173">
        <v>2012</v>
      </c>
      <c r="B25" s="173" t="s">
        <v>100</v>
      </c>
      <c r="C25" s="173" t="s">
        <v>124</v>
      </c>
      <c r="D25" s="173" t="s">
        <v>149</v>
      </c>
      <c r="E25" s="183">
        <v>86</v>
      </c>
      <c r="F25" s="173" t="s">
        <v>35</v>
      </c>
      <c r="G25" s="177">
        <v>79</v>
      </c>
      <c r="H25" s="178"/>
      <c r="I25" s="177">
        <v>65</v>
      </c>
      <c r="J25" s="178"/>
      <c r="K25" s="178"/>
      <c r="L25" s="178"/>
      <c r="M25" s="178"/>
      <c r="N25" s="177"/>
      <c r="O25" s="178"/>
      <c r="P25" s="177"/>
      <c r="Q25" s="177"/>
      <c r="R25" s="177">
        <v>1</v>
      </c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8"/>
      <c r="AF25" s="178"/>
      <c r="AG25" s="177" t="s">
        <v>14</v>
      </c>
    </row>
    <row r="26" spans="1:33" ht="12.9" x14ac:dyDescent="0.35">
      <c r="A26" s="173">
        <v>2012</v>
      </c>
      <c r="B26" s="173" t="s">
        <v>100</v>
      </c>
      <c r="C26" s="173" t="s">
        <v>124</v>
      </c>
      <c r="D26" s="173" t="s">
        <v>150</v>
      </c>
      <c r="E26" s="183">
        <v>87</v>
      </c>
      <c r="F26" s="173" t="s">
        <v>36</v>
      </c>
      <c r="G26" s="177">
        <v>72</v>
      </c>
      <c r="H26" s="178"/>
      <c r="I26" s="177">
        <v>61</v>
      </c>
      <c r="J26" s="178">
        <v>1</v>
      </c>
      <c r="K26" s="178"/>
      <c r="L26" s="178"/>
      <c r="M26" s="178"/>
      <c r="N26" s="177"/>
      <c r="O26" s="178"/>
      <c r="P26" s="177"/>
      <c r="Q26" s="177"/>
      <c r="R26" s="177"/>
      <c r="S26" s="177"/>
      <c r="T26" s="177"/>
      <c r="U26" s="177"/>
      <c r="V26" s="177"/>
      <c r="W26" s="177"/>
      <c r="X26" s="177"/>
      <c r="Y26" s="177">
        <v>1</v>
      </c>
      <c r="Z26" s="177"/>
      <c r="AA26" s="177"/>
      <c r="AB26" s="177"/>
      <c r="AC26" s="177"/>
      <c r="AD26" s="177"/>
      <c r="AE26" s="178"/>
      <c r="AF26" s="178"/>
      <c r="AG26" s="177" t="s">
        <v>14</v>
      </c>
    </row>
    <row r="27" spans="1:33" x14ac:dyDescent="0.3">
      <c r="F27" s="78" t="s">
        <v>9</v>
      </c>
      <c r="G27" s="78">
        <f>SUM(G2:G26)</f>
        <v>453</v>
      </c>
      <c r="H27" s="78">
        <f t="shared" ref="H27:AF27" si="0">SUM(H2:H26)</f>
        <v>1</v>
      </c>
      <c r="I27" s="78">
        <f t="shared" si="0"/>
        <v>354</v>
      </c>
      <c r="J27" s="78">
        <f t="shared" si="0"/>
        <v>11</v>
      </c>
      <c r="K27" s="78">
        <f t="shared" si="0"/>
        <v>2</v>
      </c>
      <c r="L27" s="78">
        <f t="shared" si="0"/>
        <v>0</v>
      </c>
      <c r="M27" s="78">
        <f t="shared" si="0"/>
        <v>5</v>
      </c>
      <c r="N27" s="78">
        <f t="shared" si="0"/>
        <v>1</v>
      </c>
      <c r="O27" s="78">
        <f t="shared" si="0"/>
        <v>2</v>
      </c>
      <c r="P27" s="78">
        <f t="shared" si="0"/>
        <v>1</v>
      </c>
      <c r="Q27" s="78">
        <f t="shared" si="0"/>
        <v>0</v>
      </c>
      <c r="R27" s="78">
        <f t="shared" si="0"/>
        <v>14</v>
      </c>
      <c r="S27" s="78">
        <f t="shared" si="0"/>
        <v>0</v>
      </c>
      <c r="T27" s="78">
        <f t="shared" si="0"/>
        <v>0</v>
      </c>
      <c r="U27" s="78">
        <f t="shared" si="0"/>
        <v>0</v>
      </c>
      <c r="V27" s="78">
        <f t="shared" si="0"/>
        <v>0</v>
      </c>
      <c r="W27" s="78">
        <f t="shared" si="0"/>
        <v>0</v>
      </c>
      <c r="X27" s="78">
        <f t="shared" si="0"/>
        <v>0</v>
      </c>
      <c r="Y27" s="78">
        <f t="shared" si="0"/>
        <v>1</v>
      </c>
      <c r="Z27" s="78">
        <f t="shared" si="0"/>
        <v>0</v>
      </c>
      <c r="AA27" s="78">
        <f t="shared" si="0"/>
        <v>0</v>
      </c>
      <c r="AB27" s="78">
        <f t="shared" si="0"/>
        <v>0</v>
      </c>
      <c r="AC27" s="78">
        <f t="shared" si="0"/>
        <v>0</v>
      </c>
      <c r="AD27" s="78">
        <f t="shared" si="0"/>
        <v>0</v>
      </c>
      <c r="AE27" s="78">
        <f t="shared" si="0"/>
        <v>0</v>
      </c>
      <c r="AF27" s="78">
        <f t="shared" si="0"/>
        <v>1</v>
      </c>
    </row>
    <row r="28" spans="1:33" x14ac:dyDescent="0.3">
      <c r="F28" s="78" t="s">
        <v>70</v>
      </c>
      <c r="G28" s="78">
        <f>G27/24</f>
        <v>18.875</v>
      </c>
      <c r="H28" s="78">
        <f t="shared" ref="H28:AF28" si="1">H27/24</f>
        <v>4.1666666666666664E-2</v>
      </c>
      <c r="I28" s="78">
        <f t="shared" si="1"/>
        <v>14.75</v>
      </c>
      <c r="J28" s="78">
        <f t="shared" si="1"/>
        <v>0.45833333333333331</v>
      </c>
      <c r="K28" s="78">
        <f t="shared" si="1"/>
        <v>8.3333333333333329E-2</v>
      </c>
      <c r="L28" s="78">
        <f t="shared" si="1"/>
        <v>0</v>
      </c>
      <c r="M28" s="78">
        <f t="shared" si="1"/>
        <v>0.20833333333333334</v>
      </c>
      <c r="N28" s="78">
        <f t="shared" si="1"/>
        <v>4.1666666666666664E-2</v>
      </c>
      <c r="O28" s="78">
        <f t="shared" si="1"/>
        <v>8.3333333333333329E-2</v>
      </c>
      <c r="P28" s="78">
        <f t="shared" si="1"/>
        <v>4.1666666666666664E-2</v>
      </c>
      <c r="Q28" s="78">
        <f t="shared" si="1"/>
        <v>0</v>
      </c>
      <c r="R28" s="78">
        <f t="shared" si="1"/>
        <v>0.58333333333333337</v>
      </c>
      <c r="S28" s="78">
        <f t="shared" si="1"/>
        <v>0</v>
      </c>
      <c r="T28" s="78">
        <f t="shared" si="1"/>
        <v>0</v>
      </c>
      <c r="U28" s="78">
        <f t="shared" si="1"/>
        <v>0</v>
      </c>
      <c r="V28" s="78">
        <f t="shared" si="1"/>
        <v>0</v>
      </c>
      <c r="W28" s="78">
        <f t="shared" si="1"/>
        <v>0</v>
      </c>
      <c r="X28" s="78">
        <f t="shared" si="1"/>
        <v>0</v>
      </c>
      <c r="Y28" s="78">
        <f t="shared" si="1"/>
        <v>4.1666666666666664E-2</v>
      </c>
      <c r="Z28" s="78">
        <f t="shared" si="1"/>
        <v>0</v>
      </c>
      <c r="AA28" s="78">
        <f t="shared" si="1"/>
        <v>0</v>
      </c>
      <c r="AB28" s="78">
        <f t="shared" si="1"/>
        <v>0</v>
      </c>
      <c r="AC28" s="78">
        <f t="shared" si="1"/>
        <v>0</v>
      </c>
      <c r="AD28" s="78">
        <f t="shared" si="1"/>
        <v>0</v>
      </c>
      <c r="AE28" s="78">
        <f t="shared" si="1"/>
        <v>0</v>
      </c>
      <c r="AF28" s="78">
        <f t="shared" si="1"/>
        <v>4.1666666666666664E-2</v>
      </c>
    </row>
    <row r="29" spans="1:33" x14ac:dyDescent="0.3">
      <c r="F29" s="78" t="s">
        <v>73</v>
      </c>
      <c r="G29" s="78">
        <f>G27/21</f>
        <v>21.571428571428573</v>
      </c>
      <c r="H29" s="78">
        <v>2</v>
      </c>
      <c r="I29" s="78">
        <f>I27/25</f>
        <v>14.16</v>
      </c>
    </row>
  </sheetData>
  <mergeCells count="1">
    <mergeCell ref="H11:AG11"/>
  </mergeCells>
  <pageMargins left="0.7" right="0.7" top="0.75" bottom="0.75" header="0.3" footer="0.3"/>
  <pageSetup orientation="portrait" horizontalDpi="1200" verticalDpi="1200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59999389629810485"/>
  </sheetPr>
  <dimension ref="A1:AE29"/>
  <sheetViews>
    <sheetView zoomScaleNormal="100" workbookViewId="0">
      <selection activeCell="G13" sqref="G13"/>
    </sheetView>
  </sheetViews>
  <sheetFormatPr defaultColWidth="8.765625" defaultRowHeight="11.6" x14ac:dyDescent="0.3"/>
  <cols>
    <col min="1" max="1" width="8.765625" style="78"/>
    <col min="2" max="2" width="7.4609375" style="78" customWidth="1"/>
    <col min="3" max="3" width="8.765625" style="78"/>
    <col min="4" max="4" width="7.4609375" style="78" customWidth="1"/>
    <col min="5" max="5" width="8.765625" style="180"/>
    <col min="6" max="6" width="8.765625" style="78"/>
    <col min="7" max="30" width="5.3046875" style="78" customWidth="1"/>
    <col min="31" max="31" width="5.07421875" style="78" customWidth="1"/>
    <col min="32" max="16384" width="8.765625" style="78"/>
  </cols>
  <sheetData>
    <row r="1" spans="1:31" ht="36.75" customHeight="1" x14ac:dyDescent="0.35">
      <c r="A1" s="173" t="s">
        <v>115</v>
      </c>
      <c r="B1" s="173" t="s">
        <v>98</v>
      </c>
      <c r="C1" s="173" t="s">
        <v>116</v>
      </c>
      <c r="D1" s="173" t="s">
        <v>117</v>
      </c>
      <c r="E1" s="174" t="s">
        <v>0</v>
      </c>
      <c r="F1" s="173" t="s">
        <v>25</v>
      </c>
      <c r="G1" s="179" t="s">
        <v>5</v>
      </c>
      <c r="H1" s="179" t="s">
        <v>6</v>
      </c>
      <c r="I1" s="179" t="s">
        <v>1</v>
      </c>
      <c r="J1" s="179" t="s">
        <v>7</v>
      </c>
      <c r="K1" s="179" t="s">
        <v>4</v>
      </c>
      <c r="L1" s="179" t="s">
        <v>3</v>
      </c>
      <c r="M1" s="179" t="s">
        <v>2</v>
      </c>
      <c r="N1" s="179" t="s">
        <v>118</v>
      </c>
      <c r="O1" s="179" t="s">
        <v>86</v>
      </c>
      <c r="P1" s="179" t="s">
        <v>88</v>
      </c>
      <c r="Q1" s="179" t="s">
        <v>96</v>
      </c>
      <c r="R1" s="179" t="s">
        <v>22</v>
      </c>
      <c r="S1" s="179" t="s">
        <v>94</v>
      </c>
      <c r="T1" s="179" t="s">
        <v>57</v>
      </c>
      <c r="U1" s="179" t="s">
        <v>54</v>
      </c>
      <c r="V1" s="179" t="s">
        <v>119</v>
      </c>
      <c r="W1" s="179" t="s">
        <v>56</v>
      </c>
      <c r="X1" s="179" t="s">
        <v>53</v>
      </c>
      <c r="Y1" s="179" t="s">
        <v>17</v>
      </c>
      <c r="Z1" s="179" t="s">
        <v>120</v>
      </c>
      <c r="AA1" s="179" t="s">
        <v>8</v>
      </c>
      <c r="AB1" s="179" t="s">
        <v>23</v>
      </c>
      <c r="AC1" s="179" t="s">
        <v>49</v>
      </c>
      <c r="AD1" s="179" t="s">
        <v>121</v>
      </c>
      <c r="AE1" s="179" t="s">
        <v>13</v>
      </c>
    </row>
    <row r="2" spans="1:31" ht="12.9" x14ac:dyDescent="0.35">
      <c r="A2" s="173">
        <v>2011</v>
      </c>
      <c r="B2" s="173" t="s">
        <v>99</v>
      </c>
      <c r="C2" s="173" t="s">
        <v>124</v>
      </c>
      <c r="D2" s="173" t="s">
        <v>125</v>
      </c>
      <c r="E2" s="174">
        <v>30</v>
      </c>
      <c r="F2" s="173" t="s">
        <v>89</v>
      </c>
      <c r="G2" s="177">
        <v>0</v>
      </c>
      <c r="H2" s="178">
        <v>0</v>
      </c>
      <c r="I2" s="177">
        <v>53</v>
      </c>
      <c r="J2" s="178">
        <v>0</v>
      </c>
      <c r="K2" s="178">
        <v>0</v>
      </c>
      <c r="L2" s="178">
        <v>0</v>
      </c>
      <c r="M2" s="178">
        <v>0</v>
      </c>
      <c r="N2" s="177">
        <v>0</v>
      </c>
      <c r="O2" s="178">
        <v>0</v>
      </c>
      <c r="P2" s="177">
        <v>0</v>
      </c>
      <c r="Q2" s="177">
        <v>0</v>
      </c>
      <c r="R2" s="178">
        <v>0</v>
      </c>
      <c r="S2" s="177">
        <v>0</v>
      </c>
      <c r="T2" s="177">
        <v>0</v>
      </c>
      <c r="U2" s="177">
        <v>0</v>
      </c>
      <c r="V2" s="177">
        <v>0</v>
      </c>
      <c r="W2" s="177">
        <v>0</v>
      </c>
      <c r="X2" s="177">
        <v>0</v>
      </c>
      <c r="Y2" s="177">
        <v>0</v>
      </c>
      <c r="Z2" s="177">
        <v>0</v>
      </c>
      <c r="AA2" s="177">
        <v>0</v>
      </c>
      <c r="AB2" s="177">
        <v>0</v>
      </c>
      <c r="AC2" s="177">
        <v>0</v>
      </c>
      <c r="AD2" s="178">
        <v>0</v>
      </c>
      <c r="AE2" s="177" t="s">
        <v>123</v>
      </c>
    </row>
    <row r="3" spans="1:31" ht="12.9" x14ac:dyDescent="0.35">
      <c r="A3" s="173">
        <v>2011</v>
      </c>
      <c r="B3" s="173" t="s">
        <v>99</v>
      </c>
      <c r="C3" s="173" t="s">
        <v>124</v>
      </c>
      <c r="D3" s="173" t="s">
        <v>126</v>
      </c>
      <c r="E3" s="174">
        <v>38</v>
      </c>
      <c r="F3" s="173" t="s">
        <v>43</v>
      </c>
      <c r="G3" s="177">
        <v>2</v>
      </c>
      <c r="H3" s="178">
        <v>0</v>
      </c>
      <c r="I3" s="177">
        <v>26</v>
      </c>
      <c r="J3" s="177">
        <v>1</v>
      </c>
      <c r="K3" s="177">
        <v>1</v>
      </c>
      <c r="L3" s="178">
        <v>0</v>
      </c>
      <c r="M3" s="177">
        <v>4</v>
      </c>
      <c r="N3" s="177">
        <v>0</v>
      </c>
      <c r="O3" s="178">
        <v>0</v>
      </c>
      <c r="P3" s="177">
        <v>0</v>
      </c>
      <c r="Q3" s="177">
        <v>0</v>
      </c>
      <c r="R3" s="177">
        <v>1</v>
      </c>
      <c r="S3" s="177">
        <v>1</v>
      </c>
      <c r="T3" s="177">
        <v>1</v>
      </c>
      <c r="U3" s="177">
        <v>1</v>
      </c>
      <c r="V3" s="177">
        <v>1</v>
      </c>
      <c r="W3" s="177">
        <v>1</v>
      </c>
      <c r="X3" s="177">
        <v>1</v>
      </c>
      <c r="Y3" s="177">
        <v>1</v>
      </c>
      <c r="Z3" s="177">
        <v>1</v>
      </c>
      <c r="AA3" s="177">
        <v>1</v>
      </c>
      <c r="AB3" s="177">
        <v>1</v>
      </c>
      <c r="AC3" s="177">
        <v>1</v>
      </c>
      <c r="AD3" s="178">
        <v>0</v>
      </c>
      <c r="AE3" s="177" t="s">
        <v>123</v>
      </c>
    </row>
    <row r="4" spans="1:31" ht="12.9" x14ac:dyDescent="0.35">
      <c r="A4" s="173">
        <v>2011</v>
      </c>
      <c r="B4" s="173" t="s">
        <v>99</v>
      </c>
      <c r="C4" s="173" t="s">
        <v>124</v>
      </c>
      <c r="D4" s="173" t="s">
        <v>127</v>
      </c>
      <c r="E4" s="174">
        <v>58</v>
      </c>
      <c r="F4" s="173" t="s">
        <v>44</v>
      </c>
      <c r="G4" s="177">
        <v>4</v>
      </c>
      <c r="H4" s="177">
        <v>1</v>
      </c>
      <c r="I4" s="177">
        <v>7</v>
      </c>
      <c r="J4" s="178">
        <v>0</v>
      </c>
      <c r="K4" s="177">
        <v>5</v>
      </c>
      <c r="L4" s="178">
        <v>0</v>
      </c>
      <c r="M4" s="178">
        <v>0</v>
      </c>
      <c r="N4" s="177">
        <v>0</v>
      </c>
      <c r="O4" s="178">
        <v>0</v>
      </c>
      <c r="P4" s="177">
        <v>0</v>
      </c>
      <c r="Q4" s="177">
        <v>0</v>
      </c>
      <c r="R4" s="178">
        <v>0</v>
      </c>
      <c r="S4" s="177">
        <v>0</v>
      </c>
      <c r="T4" s="177">
        <v>0</v>
      </c>
      <c r="U4" s="177">
        <v>0</v>
      </c>
      <c r="V4" s="177">
        <v>0</v>
      </c>
      <c r="W4" s="177">
        <v>0</v>
      </c>
      <c r="X4" s="177">
        <v>0</v>
      </c>
      <c r="Y4" s="177">
        <v>0</v>
      </c>
      <c r="Z4" s="177">
        <v>0</v>
      </c>
      <c r="AA4" s="177">
        <v>0</v>
      </c>
      <c r="AB4" s="177">
        <v>0</v>
      </c>
      <c r="AC4" s="177">
        <v>0</v>
      </c>
      <c r="AD4" s="178">
        <v>0</v>
      </c>
      <c r="AE4" s="177" t="s">
        <v>123</v>
      </c>
    </row>
    <row r="5" spans="1:31" ht="12.9" x14ac:dyDescent="0.35">
      <c r="A5" s="173">
        <v>2011</v>
      </c>
      <c r="B5" s="173" t="s">
        <v>99</v>
      </c>
      <c r="C5" s="173" t="s">
        <v>124</v>
      </c>
      <c r="D5" s="173" t="s">
        <v>128</v>
      </c>
      <c r="E5" s="174">
        <v>61</v>
      </c>
      <c r="F5" s="173" t="s">
        <v>45</v>
      </c>
      <c r="G5" s="177">
        <v>1</v>
      </c>
      <c r="H5" s="178">
        <v>0</v>
      </c>
      <c r="I5" s="177">
        <v>18</v>
      </c>
      <c r="J5" s="178">
        <v>0</v>
      </c>
      <c r="K5" s="178">
        <v>0</v>
      </c>
      <c r="L5" s="178">
        <v>0</v>
      </c>
      <c r="M5" s="177">
        <v>4</v>
      </c>
      <c r="N5" s="177">
        <v>0</v>
      </c>
      <c r="O5" s="178">
        <v>0</v>
      </c>
      <c r="P5" s="177">
        <v>0</v>
      </c>
      <c r="Q5" s="177">
        <v>0</v>
      </c>
      <c r="R5" s="178">
        <v>0</v>
      </c>
      <c r="S5" s="177">
        <v>0</v>
      </c>
      <c r="T5" s="177">
        <v>0</v>
      </c>
      <c r="U5" s="177">
        <v>0</v>
      </c>
      <c r="V5" s="177">
        <v>0</v>
      </c>
      <c r="W5" s="177">
        <v>0</v>
      </c>
      <c r="X5" s="177">
        <v>0</v>
      </c>
      <c r="Y5" s="177">
        <v>0</v>
      </c>
      <c r="Z5" s="177">
        <v>0</v>
      </c>
      <c r="AA5" s="177">
        <v>0</v>
      </c>
      <c r="AB5" s="177">
        <v>0</v>
      </c>
      <c r="AC5" s="177">
        <v>0</v>
      </c>
      <c r="AD5" s="178">
        <v>0</v>
      </c>
      <c r="AE5" s="177" t="s">
        <v>123</v>
      </c>
    </row>
    <row r="6" spans="1:31" ht="12.9" x14ac:dyDescent="0.35">
      <c r="A6" s="173">
        <v>2011</v>
      </c>
      <c r="B6" s="173" t="s">
        <v>99</v>
      </c>
      <c r="C6" s="173" t="s">
        <v>124</v>
      </c>
      <c r="D6" s="173" t="s">
        <v>129</v>
      </c>
      <c r="E6" s="174">
        <v>62</v>
      </c>
      <c r="F6" s="173" t="s">
        <v>130</v>
      </c>
      <c r="G6" s="177">
        <v>5</v>
      </c>
      <c r="H6" s="177">
        <v>3</v>
      </c>
      <c r="I6" s="177">
        <v>9</v>
      </c>
      <c r="J6" s="177">
        <v>1</v>
      </c>
      <c r="K6" s="177">
        <v>5</v>
      </c>
      <c r="L6" s="178">
        <v>0</v>
      </c>
      <c r="M6" s="178">
        <v>0</v>
      </c>
      <c r="N6" s="177">
        <v>1</v>
      </c>
      <c r="O6" s="178">
        <v>0</v>
      </c>
      <c r="P6" s="177">
        <v>0</v>
      </c>
      <c r="Q6" s="177">
        <v>0</v>
      </c>
      <c r="R6" s="178">
        <v>0</v>
      </c>
      <c r="S6" s="177">
        <v>0</v>
      </c>
      <c r="T6" s="177">
        <v>0</v>
      </c>
      <c r="U6" s="177">
        <v>0</v>
      </c>
      <c r="V6" s="177">
        <v>0</v>
      </c>
      <c r="W6" s="177">
        <v>0</v>
      </c>
      <c r="X6" s="177">
        <v>0</v>
      </c>
      <c r="Y6" s="177">
        <v>0</v>
      </c>
      <c r="Z6" s="177">
        <v>0</v>
      </c>
      <c r="AA6" s="177">
        <v>0</v>
      </c>
      <c r="AB6" s="177">
        <v>0</v>
      </c>
      <c r="AC6" s="177">
        <v>0</v>
      </c>
      <c r="AD6" s="178">
        <v>0</v>
      </c>
      <c r="AE6" s="177" t="s">
        <v>123</v>
      </c>
    </row>
    <row r="7" spans="1:31" ht="12.9" x14ac:dyDescent="0.35">
      <c r="A7" s="173">
        <v>2011</v>
      </c>
      <c r="B7" s="173" t="s">
        <v>99</v>
      </c>
      <c r="C7" s="173" t="s">
        <v>124</v>
      </c>
      <c r="D7" s="173" t="s">
        <v>131</v>
      </c>
      <c r="E7" s="174">
        <v>65</v>
      </c>
      <c r="F7" s="173" t="s">
        <v>47</v>
      </c>
      <c r="G7" s="177">
        <v>3</v>
      </c>
      <c r="H7" s="178">
        <v>0</v>
      </c>
      <c r="I7" s="177">
        <v>3</v>
      </c>
      <c r="J7" s="177">
        <v>1</v>
      </c>
      <c r="K7" s="178">
        <v>0</v>
      </c>
      <c r="L7" s="178">
        <v>0</v>
      </c>
      <c r="M7" s="178">
        <v>0</v>
      </c>
      <c r="N7" s="177">
        <v>0</v>
      </c>
      <c r="O7" s="178">
        <v>0</v>
      </c>
      <c r="P7" s="177">
        <v>0</v>
      </c>
      <c r="Q7" s="177">
        <v>0</v>
      </c>
      <c r="R7" s="178">
        <v>0</v>
      </c>
      <c r="S7" s="177">
        <v>0</v>
      </c>
      <c r="T7" s="177">
        <v>0</v>
      </c>
      <c r="U7" s="177">
        <v>0</v>
      </c>
      <c r="V7" s="177">
        <v>0</v>
      </c>
      <c r="W7" s="177">
        <v>0</v>
      </c>
      <c r="X7" s="177">
        <v>0</v>
      </c>
      <c r="Y7" s="177">
        <v>0</v>
      </c>
      <c r="Z7" s="177">
        <v>0</v>
      </c>
      <c r="AA7" s="177">
        <v>0</v>
      </c>
      <c r="AB7" s="177">
        <v>0</v>
      </c>
      <c r="AC7" s="177">
        <v>0</v>
      </c>
      <c r="AD7" s="178">
        <v>0</v>
      </c>
      <c r="AE7" s="177" t="s">
        <v>123</v>
      </c>
    </row>
    <row r="8" spans="1:31" ht="12.9" x14ac:dyDescent="0.35">
      <c r="A8" s="173">
        <v>2011</v>
      </c>
      <c r="B8" s="173" t="s">
        <v>100</v>
      </c>
      <c r="C8" s="173" t="s">
        <v>124</v>
      </c>
      <c r="D8" s="173" t="s">
        <v>132</v>
      </c>
      <c r="E8" s="174">
        <v>66</v>
      </c>
      <c r="F8" s="173" t="s">
        <v>52</v>
      </c>
      <c r="G8" s="177">
        <v>3</v>
      </c>
      <c r="H8" s="178">
        <v>0</v>
      </c>
      <c r="I8" s="177">
        <v>6</v>
      </c>
      <c r="J8" s="177">
        <v>1</v>
      </c>
      <c r="K8" s="177">
        <v>1</v>
      </c>
      <c r="L8" s="178">
        <v>0</v>
      </c>
      <c r="M8" s="178">
        <v>0</v>
      </c>
      <c r="N8" s="177">
        <v>0</v>
      </c>
      <c r="O8" s="178">
        <v>0</v>
      </c>
      <c r="P8" s="177">
        <v>0</v>
      </c>
      <c r="Q8" s="177">
        <v>0</v>
      </c>
      <c r="R8" s="178">
        <v>0</v>
      </c>
      <c r="S8" s="177">
        <v>0</v>
      </c>
      <c r="T8" s="177">
        <v>0</v>
      </c>
      <c r="U8" s="177">
        <v>0</v>
      </c>
      <c r="V8" s="177">
        <v>0</v>
      </c>
      <c r="W8" s="177">
        <v>0</v>
      </c>
      <c r="X8" s="177">
        <v>0</v>
      </c>
      <c r="Y8" s="177">
        <v>0</v>
      </c>
      <c r="Z8" s="177">
        <v>0</v>
      </c>
      <c r="AA8" s="177">
        <v>0</v>
      </c>
      <c r="AB8" s="177">
        <v>0</v>
      </c>
      <c r="AC8" s="177">
        <v>0</v>
      </c>
      <c r="AD8" s="178">
        <v>0</v>
      </c>
      <c r="AE8" s="177" t="s">
        <v>123</v>
      </c>
    </row>
    <row r="9" spans="1:31" ht="12.9" x14ac:dyDescent="0.35">
      <c r="A9" s="173">
        <v>2011</v>
      </c>
      <c r="B9" s="173" t="s">
        <v>100</v>
      </c>
      <c r="C9" s="173" t="s">
        <v>124</v>
      </c>
      <c r="D9" s="173" t="s">
        <v>133</v>
      </c>
      <c r="E9" s="174">
        <v>69</v>
      </c>
      <c r="F9" s="173" t="s">
        <v>33</v>
      </c>
      <c r="G9" s="177">
        <v>3</v>
      </c>
      <c r="H9" s="178">
        <v>0</v>
      </c>
      <c r="I9" s="177">
        <v>12</v>
      </c>
      <c r="J9" s="178">
        <v>0</v>
      </c>
      <c r="K9" s="178">
        <v>0</v>
      </c>
      <c r="L9" s="178">
        <v>0</v>
      </c>
      <c r="M9" s="178">
        <v>0</v>
      </c>
      <c r="N9" s="177">
        <v>0</v>
      </c>
      <c r="O9" s="178">
        <v>0</v>
      </c>
      <c r="P9" s="177">
        <v>0</v>
      </c>
      <c r="Q9" s="177">
        <v>0</v>
      </c>
      <c r="R9" s="177">
        <v>1</v>
      </c>
      <c r="S9" s="177">
        <v>0</v>
      </c>
      <c r="T9" s="177">
        <v>0</v>
      </c>
      <c r="U9" s="177">
        <v>0</v>
      </c>
      <c r="V9" s="177">
        <v>0</v>
      </c>
      <c r="W9" s="177">
        <v>0</v>
      </c>
      <c r="X9" s="177">
        <v>0</v>
      </c>
      <c r="Y9" s="177">
        <v>0</v>
      </c>
      <c r="Z9" s="177">
        <v>0</v>
      </c>
      <c r="AA9" s="177">
        <v>0</v>
      </c>
      <c r="AB9" s="177">
        <v>0</v>
      </c>
      <c r="AC9" s="177">
        <v>0</v>
      </c>
      <c r="AD9" s="178">
        <v>0</v>
      </c>
      <c r="AE9" s="177" t="s">
        <v>123</v>
      </c>
    </row>
    <row r="10" spans="1:31" ht="12.9" x14ac:dyDescent="0.35">
      <c r="A10" s="173">
        <v>2011</v>
      </c>
      <c r="B10" s="173" t="s">
        <v>99</v>
      </c>
      <c r="C10" s="173" t="s">
        <v>124</v>
      </c>
      <c r="D10" s="173" t="s">
        <v>134</v>
      </c>
      <c r="E10" s="174">
        <v>70</v>
      </c>
      <c r="F10" s="173" t="s">
        <v>27</v>
      </c>
      <c r="G10" s="177">
        <v>1</v>
      </c>
      <c r="H10" s="178">
        <v>0</v>
      </c>
      <c r="I10" s="177">
        <v>46</v>
      </c>
      <c r="J10" s="178">
        <v>0</v>
      </c>
      <c r="K10" s="178">
        <v>0</v>
      </c>
      <c r="L10" s="177">
        <v>1</v>
      </c>
      <c r="M10" s="178">
        <v>0</v>
      </c>
      <c r="N10" s="177">
        <v>0</v>
      </c>
      <c r="O10" s="178">
        <v>0</v>
      </c>
      <c r="P10" s="177">
        <v>0</v>
      </c>
      <c r="Q10" s="177">
        <v>0</v>
      </c>
      <c r="R10" s="178">
        <v>0</v>
      </c>
      <c r="S10" s="177">
        <v>0</v>
      </c>
      <c r="T10" s="177">
        <v>0</v>
      </c>
      <c r="U10" s="177">
        <v>0</v>
      </c>
      <c r="V10" s="177">
        <v>0</v>
      </c>
      <c r="W10" s="177">
        <v>0</v>
      </c>
      <c r="X10" s="177">
        <v>0</v>
      </c>
      <c r="Y10" s="177">
        <v>0</v>
      </c>
      <c r="Z10" s="177">
        <v>0</v>
      </c>
      <c r="AA10" s="177">
        <v>0</v>
      </c>
      <c r="AB10" s="177">
        <v>0</v>
      </c>
      <c r="AC10" s="177">
        <v>0</v>
      </c>
      <c r="AD10" s="178">
        <v>0</v>
      </c>
      <c r="AE10" s="177" t="s">
        <v>123</v>
      </c>
    </row>
    <row r="11" spans="1:31" ht="12.9" x14ac:dyDescent="0.35">
      <c r="A11" s="173">
        <v>2011</v>
      </c>
      <c r="B11" s="173" t="s">
        <v>99</v>
      </c>
      <c r="C11" s="173" t="s">
        <v>124</v>
      </c>
      <c r="D11" s="173" t="s">
        <v>135</v>
      </c>
      <c r="E11" s="174">
        <v>71</v>
      </c>
      <c r="F11" s="173" t="s">
        <v>28</v>
      </c>
      <c r="G11" s="177">
        <v>45</v>
      </c>
      <c r="H11" s="178">
        <v>0</v>
      </c>
      <c r="I11" s="177">
        <v>16</v>
      </c>
      <c r="J11" s="178">
        <v>0</v>
      </c>
      <c r="K11" s="178">
        <v>0</v>
      </c>
      <c r="L11" s="178">
        <v>0</v>
      </c>
      <c r="M11" s="178">
        <v>0</v>
      </c>
      <c r="N11" s="177">
        <v>0</v>
      </c>
      <c r="O11" s="178">
        <v>0</v>
      </c>
      <c r="P11" s="177">
        <v>0</v>
      </c>
      <c r="Q11" s="177">
        <v>0</v>
      </c>
      <c r="R11" s="178">
        <v>0</v>
      </c>
      <c r="S11" s="177">
        <v>0</v>
      </c>
      <c r="T11" s="177">
        <v>0</v>
      </c>
      <c r="U11" s="177">
        <v>0</v>
      </c>
      <c r="V11" s="177">
        <v>0</v>
      </c>
      <c r="W11" s="177">
        <v>0</v>
      </c>
      <c r="X11" s="177">
        <v>0</v>
      </c>
      <c r="Y11" s="177">
        <v>0</v>
      </c>
      <c r="Z11" s="177">
        <v>0</v>
      </c>
      <c r="AA11" s="177">
        <v>0</v>
      </c>
      <c r="AB11" s="177">
        <v>0</v>
      </c>
      <c r="AC11" s="177">
        <v>0</v>
      </c>
      <c r="AD11" s="178">
        <v>0</v>
      </c>
      <c r="AE11" s="177" t="s">
        <v>123</v>
      </c>
    </row>
    <row r="12" spans="1:31" ht="12.9" x14ac:dyDescent="0.35">
      <c r="A12" s="173">
        <v>2011</v>
      </c>
      <c r="B12" s="173" t="s">
        <v>100</v>
      </c>
      <c r="C12" s="173" t="s">
        <v>124</v>
      </c>
      <c r="D12" s="173" t="s">
        <v>136</v>
      </c>
      <c r="E12" s="174">
        <v>72</v>
      </c>
      <c r="F12" s="173" t="s">
        <v>34</v>
      </c>
      <c r="G12" s="177">
        <v>38</v>
      </c>
      <c r="H12" s="178">
        <v>0</v>
      </c>
      <c r="I12" s="177">
        <v>55</v>
      </c>
      <c r="J12" s="178">
        <v>0</v>
      </c>
      <c r="K12" s="178">
        <v>0</v>
      </c>
      <c r="L12" s="178">
        <v>0</v>
      </c>
      <c r="M12" s="178">
        <v>0</v>
      </c>
      <c r="N12" s="177">
        <v>0</v>
      </c>
      <c r="O12" s="178">
        <v>0</v>
      </c>
      <c r="P12" s="177">
        <v>0</v>
      </c>
      <c r="Q12" s="177">
        <v>0</v>
      </c>
      <c r="R12" s="178">
        <v>0</v>
      </c>
      <c r="S12" s="177">
        <v>0</v>
      </c>
      <c r="T12" s="177">
        <v>0</v>
      </c>
      <c r="U12" s="177">
        <v>0</v>
      </c>
      <c r="V12" s="177">
        <v>0</v>
      </c>
      <c r="W12" s="177">
        <v>0</v>
      </c>
      <c r="X12" s="177">
        <v>0</v>
      </c>
      <c r="Y12" s="177">
        <v>0</v>
      </c>
      <c r="Z12" s="177">
        <v>0</v>
      </c>
      <c r="AA12" s="177">
        <v>0</v>
      </c>
      <c r="AB12" s="177">
        <v>0</v>
      </c>
      <c r="AC12" s="177">
        <v>2</v>
      </c>
      <c r="AD12" s="178">
        <v>0</v>
      </c>
      <c r="AE12" s="177" t="s">
        <v>123</v>
      </c>
    </row>
    <row r="13" spans="1:31" ht="18" customHeight="1" x14ac:dyDescent="0.35">
      <c r="A13" s="173">
        <v>2011</v>
      </c>
      <c r="B13" s="173" t="s">
        <v>100</v>
      </c>
      <c r="C13" s="173" t="s">
        <v>124</v>
      </c>
      <c r="D13" s="173" t="s">
        <v>137</v>
      </c>
      <c r="E13" s="174">
        <v>73</v>
      </c>
      <c r="F13" s="173" t="s">
        <v>50</v>
      </c>
      <c r="G13" s="177">
        <v>2</v>
      </c>
      <c r="H13" s="178">
        <v>0</v>
      </c>
      <c r="I13" s="177">
        <v>57</v>
      </c>
      <c r="J13" s="178">
        <v>0</v>
      </c>
      <c r="K13" s="178">
        <v>0</v>
      </c>
      <c r="L13" s="178">
        <v>0</v>
      </c>
      <c r="M13" s="178">
        <v>0</v>
      </c>
      <c r="N13" s="177">
        <v>0</v>
      </c>
      <c r="O13" s="178">
        <v>0</v>
      </c>
      <c r="P13" s="177">
        <v>0</v>
      </c>
      <c r="Q13" s="177">
        <v>0</v>
      </c>
      <c r="R13" s="178">
        <v>0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0</v>
      </c>
      <c r="Y13" s="177">
        <v>0</v>
      </c>
      <c r="Z13" s="177">
        <v>0</v>
      </c>
      <c r="AA13" s="177">
        <v>0</v>
      </c>
      <c r="AB13" s="177">
        <v>0</v>
      </c>
      <c r="AC13" s="177">
        <v>0</v>
      </c>
      <c r="AD13" s="178">
        <v>0</v>
      </c>
      <c r="AE13" s="177" t="s">
        <v>123</v>
      </c>
    </row>
    <row r="14" spans="1:31" ht="12.9" x14ac:dyDescent="0.35">
      <c r="A14" s="173">
        <v>2011</v>
      </c>
      <c r="B14" s="173" t="s">
        <v>100</v>
      </c>
      <c r="C14" s="173" t="s">
        <v>124</v>
      </c>
      <c r="D14" s="173" t="s">
        <v>138</v>
      </c>
      <c r="E14" s="174">
        <v>74</v>
      </c>
      <c r="F14" s="173" t="s">
        <v>37</v>
      </c>
      <c r="G14" s="177">
        <v>27</v>
      </c>
      <c r="H14" s="178">
        <v>0</v>
      </c>
      <c r="I14" s="177">
        <v>8</v>
      </c>
      <c r="J14" s="178">
        <v>0</v>
      </c>
      <c r="K14" s="178">
        <v>0</v>
      </c>
      <c r="L14" s="178">
        <v>0</v>
      </c>
      <c r="M14" s="178">
        <v>0</v>
      </c>
      <c r="N14" s="177">
        <v>0</v>
      </c>
      <c r="O14" s="178">
        <v>0</v>
      </c>
      <c r="P14" s="177">
        <v>0</v>
      </c>
      <c r="Q14" s="177">
        <v>0</v>
      </c>
      <c r="R14" s="177">
        <v>1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0</v>
      </c>
      <c r="Y14" s="177">
        <v>0</v>
      </c>
      <c r="Z14" s="177">
        <v>0</v>
      </c>
      <c r="AA14" s="177">
        <v>0</v>
      </c>
      <c r="AB14" s="177">
        <v>0</v>
      </c>
      <c r="AC14" s="177">
        <v>0</v>
      </c>
      <c r="AD14" s="178">
        <v>0</v>
      </c>
      <c r="AE14" s="177" t="s">
        <v>15</v>
      </c>
    </row>
    <row r="15" spans="1:31" ht="12.9" x14ac:dyDescent="0.35">
      <c r="A15" s="173">
        <v>2011</v>
      </c>
      <c r="B15" s="173" t="s">
        <v>100</v>
      </c>
      <c r="C15" s="173" t="s">
        <v>124</v>
      </c>
      <c r="D15" s="173" t="s">
        <v>139</v>
      </c>
      <c r="E15" s="174">
        <v>75</v>
      </c>
      <c r="F15" s="173" t="s">
        <v>38</v>
      </c>
      <c r="G15" s="177">
        <v>7</v>
      </c>
      <c r="H15" s="178">
        <v>0</v>
      </c>
      <c r="I15" s="177">
        <v>21</v>
      </c>
      <c r="J15" s="178">
        <v>0</v>
      </c>
      <c r="K15" s="178">
        <v>0</v>
      </c>
      <c r="L15" s="178">
        <v>0</v>
      </c>
      <c r="M15" s="178">
        <v>0</v>
      </c>
      <c r="N15" s="177">
        <v>0</v>
      </c>
      <c r="O15" s="177">
        <v>1</v>
      </c>
      <c r="P15" s="177">
        <v>0</v>
      </c>
      <c r="Q15" s="177">
        <v>0</v>
      </c>
      <c r="R15" s="178">
        <v>0</v>
      </c>
      <c r="S15" s="177">
        <v>0</v>
      </c>
      <c r="T15" s="177">
        <v>0</v>
      </c>
      <c r="U15" s="177">
        <v>0</v>
      </c>
      <c r="V15" s="177">
        <v>0</v>
      </c>
      <c r="W15" s="177">
        <v>0</v>
      </c>
      <c r="X15" s="177">
        <v>0</v>
      </c>
      <c r="Y15" s="177">
        <v>0</v>
      </c>
      <c r="Z15" s="177">
        <v>0</v>
      </c>
      <c r="AA15" s="177">
        <v>0</v>
      </c>
      <c r="AB15" s="177">
        <v>0</v>
      </c>
      <c r="AC15" s="177">
        <v>0</v>
      </c>
      <c r="AD15" s="178">
        <v>0</v>
      </c>
      <c r="AE15" s="177" t="s">
        <v>122</v>
      </c>
    </row>
    <row r="16" spans="1:31" ht="12.9" x14ac:dyDescent="0.35">
      <c r="A16" s="173">
        <v>2011</v>
      </c>
      <c r="B16" s="173" t="s">
        <v>100</v>
      </c>
      <c r="C16" s="173" t="s">
        <v>124</v>
      </c>
      <c r="D16" s="173" t="s">
        <v>140</v>
      </c>
      <c r="E16" s="174">
        <v>76</v>
      </c>
      <c r="F16" s="173" t="s">
        <v>39</v>
      </c>
      <c r="G16" s="177">
        <v>65</v>
      </c>
      <c r="H16" s="178">
        <v>0</v>
      </c>
      <c r="I16" s="177">
        <v>33</v>
      </c>
      <c r="J16" s="178">
        <v>0</v>
      </c>
      <c r="K16" s="178">
        <v>0</v>
      </c>
      <c r="L16" s="178">
        <v>0</v>
      </c>
      <c r="M16" s="178">
        <v>0</v>
      </c>
      <c r="N16" s="177">
        <v>0</v>
      </c>
      <c r="O16" s="178">
        <v>0</v>
      </c>
      <c r="P16" s="177">
        <v>0</v>
      </c>
      <c r="Q16" s="177">
        <v>1</v>
      </c>
      <c r="R16" s="178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0</v>
      </c>
      <c r="X16" s="177">
        <v>0</v>
      </c>
      <c r="Y16" s="177">
        <v>0</v>
      </c>
      <c r="Z16" s="177">
        <v>0</v>
      </c>
      <c r="AA16" s="177">
        <v>0</v>
      </c>
      <c r="AB16" s="177">
        <v>0</v>
      </c>
      <c r="AC16" s="177">
        <v>0</v>
      </c>
      <c r="AD16" s="178">
        <v>0</v>
      </c>
      <c r="AE16" s="177" t="s">
        <v>15</v>
      </c>
    </row>
    <row r="17" spans="1:31" ht="12.9" x14ac:dyDescent="0.35">
      <c r="A17" s="173">
        <v>2011</v>
      </c>
      <c r="B17" s="173" t="s">
        <v>100</v>
      </c>
      <c r="C17" s="173" t="s">
        <v>124</v>
      </c>
      <c r="D17" s="173" t="s">
        <v>141</v>
      </c>
      <c r="E17" s="174">
        <v>78</v>
      </c>
      <c r="F17" s="173" t="s">
        <v>40</v>
      </c>
      <c r="G17" s="177">
        <v>14</v>
      </c>
      <c r="H17" s="178">
        <v>0</v>
      </c>
      <c r="I17" s="177">
        <v>1</v>
      </c>
      <c r="J17" s="178">
        <v>0</v>
      </c>
      <c r="K17" s="177">
        <v>2</v>
      </c>
      <c r="L17" s="178">
        <v>0</v>
      </c>
      <c r="M17" s="178">
        <v>0</v>
      </c>
      <c r="N17" s="177">
        <v>0</v>
      </c>
      <c r="O17" s="178">
        <v>0</v>
      </c>
      <c r="P17" s="177">
        <v>0</v>
      </c>
      <c r="Q17" s="177">
        <v>0</v>
      </c>
      <c r="R17" s="177">
        <v>4</v>
      </c>
      <c r="S17" s="177">
        <v>0</v>
      </c>
      <c r="T17" s="177">
        <v>0</v>
      </c>
      <c r="U17" s="177">
        <v>0</v>
      </c>
      <c r="V17" s="177">
        <v>0</v>
      </c>
      <c r="W17" s="177">
        <v>0</v>
      </c>
      <c r="X17" s="177">
        <v>0</v>
      </c>
      <c r="Y17" s="177">
        <v>0</v>
      </c>
      <c r="Z17" s="177">
        <v>0</v>
      </c>
      <c r="AA17" s="177">
        <v>0</v>
      </c>
      <c r="AB17" s="177">
        <v>0</v>
      </c>
      <c r="AC17" s="177">
        <v>0</v>
      </c>
      <c r="AD17" s="178">
        <v>0</v>
      </c>
      <c r="AE17" s="177" t="s">
        <v>122</v>
      </c>
    </row>
    <row r="18" spans="1:31" ht="12.9" x14ac:dyDescent="0.35">
      <c r="A18" s="173">
        <v>2011</v>
      </c>
      <c r="B18" s="173" t="s">
        <v>99</v>
      </c>
      <c r="C18" s="173" t="s">
        <v>124</v>
      </c>
      <c r="D18" s="173" t="s">
        <v>142</v>
      </c>
      <c r="E18" s="174">
        <v>79</v>
      </c>
      <c r="F18" s="173" t="s">
        <v>29</v>
      </c>
      <c r="G18" s="177">
        <v>0</v>
      </c>
      <c r="H18" s="178">
        <v>0</v>
      </c>
      <c r="I18" s="177">
        <v>10</v>
      </c>
      <c r="J18" s="178">
        <v>0</v>
      </c>
      <c r="K18" s="178">
        <v>0</v>
      </c>
      <c r="L18" s="178">
        <v>0</v>
      </c>
      <c r="M18" s="178">
        <v>0</v>
      </c>
      <c r="N18" s="177">
        <v>0</v>
      </c>
      <c r="O18" s="178">
        <v>0</v>
      </c>
      <c r="P18" s="177">
        <v>0</v>
      </c>
      <c r="Q18" s="177">
        <v>0</v>
      </c>
      <c r="R18" s="178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0</v>
      </c>
      <c r="X18" s="177">
        <v>0</v>
      </c>
      <c r="Y18" s="177">
        <v>0</v>
      </c>
      <c r="Z18" s="177">
        <v>0</v>
      </c>
      <c r="AA18" s="177">
        <v>0</v>
      </c>
      <c r="AB18" s="177">
        <v>0</v>
      </c>
      <c r="AC18" s="177">
        <v>0</v>
      </c>
      <c r="AD18" s="177">
        <v>1</v>
      </c>
      <c r="AE18" s="177" t="s">
        <v>122</v>
      </c>
    </row>
    <row r="19" spans="1:31" ht="12.9" x14ac:dyDescent="0.35">
      <c r="A19" s="173">
        <v>2011</v>
      </c>
      <c r="B19" s="173" t="s">
        <v>99</v>
      </c>
      <c r="C19" s="173" t="s">
        <v>124</v>
      </c>
      <c r="D19" s="173" t="s">
        <v>143</v>
      </c>
      <c r="E19" s="174">
        <v>80</v>
      </c>
      <c r="F19" s="173" t="s">
        <v>30</v>
      </c>
      <c r="G19" s="177">
        <v>0</v>
      </c>
      <c r="H19" s="178">
        <v>0</v>
      </c>
      <c r="I19" s="177">
        <v>30</v>
      </c>
      <c r="J19" s="177">
        <v>4</v>
      </c>
      <c r="K19" s="178">
        <v>0</v>
      </c>
      <c r="L19" s="178">
        <v>0</v>
      </c>
      <c r="M19" s="178">
        <v>0</v>
      </c>
      <c r="N19" s="177">
        <v>0</v>
      </c>
      <c r="O19" s="178">
        <v>0</v>
      </c>
      <c r="P19" s="177">
        <v>0</v>
      </c>
      <c r="Q19" s="177">
        <v>3</v>
      </c>
      <c r="R19" s="178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1</v>
      </c>
      <c r="X19" s="177">
        <v>0</v>
      </c>
      <c r="Y19" s="177">
        <v>0</v>
      </c>
      <c r="Z19" s="177">
        <v>0</v>
      </c>
      <c r="AA19" s="177">
        <v>0</v>
      </c>
      <c r="AB19" s="177">
        <v>0</v>
      </c>
      <c r="AC19" s="177">
        <v>0</v>
      </c>
      <c r="AD19" s="178">
        <v>0</v>
      </c>
      <c r="AE19" s="177" t="s">
        <v>122</v>
      </c>
    </row>
    <row r="20" spans="1:31" ht="12.9" x14ac:dyDescent="0.35">
      <c r="A20" s="173">
        <v>2011</v>
      </c>
      <c r="B20" s="173" t="s">
        <v>99</v>
      </c>
      <c r="C20" s="173" t="s">
        <v>124</v>
      </c>
      <c r="D20" s="173" t="s">
        <v>144</v>
      </c>
      <c r="E20" s="174">
        <v>81</v>
      </c>
      <c r="F20" s="173" t="s">
        <v>31</v>
      </c>
      <c r="G20" s="177">
        <v>0</v>
      </c>
      <c r="H20" s="178">
        <v>0</v>
      </c>
      <c r="I20" s="177">
        <v>2</v>
      </c>
      <c r="J20" s="178">
        <v>0</v>
      </c>
      <c r="K20" s="178">
        <v>0</v>
      </c>
      <c r="L20" s="178">
        <v>0</v>
      </c>
      <c r="M20" s="178">
        <v>0</v>
      </c>
      <c r="N20" s="177">
        <v>0</v>
      </c>
      <c r="O20" s="178">
        <v>0</v>
      </c>
      <c r="P20" s="177">
        <v>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0</v>
      </c>
      <c r="Y20" s="177">
        <v>0</v>
      </c>
      <c r="Z20" s="177">
        <v>0</v>
      </c>
      <c r="AA20" s="177">
        <v>0</v>
      </c>
      <c r="AB20" s="177">
        <v>0</v>
      </c>
      <c r="AC20" s="177">
        <v>0</v>
      </c>
      <c r="AD20" s="178">
        <v>0</v>
      </c>
      <c r="AE20" s="177" t="s">
        <v>122</v>
      </c>
    </row>
    <row r="21" spans="1:31" ht="12.9" x14ac:dyDescent="0.35">
      <c r="A21" s="173">
        <v>2011</v>
      </c>
      <c r="B21" s="173" t="s">
        <v>99</v>
      </c>
      <c r="C21" s="173" t="s">
        <v>124</v>
      </c>
      <c r="D21" s="173" t="s">
        <v>145</v>
      </c>
      <c r="E21" s="174">
        <v>82</v>
      </c>
      <c r="F21" s="173" t="s">
        <v>32</v>
      </c>
      <c r="G21" s="177">
        <v>9</v>
      </c>
      <c r="H21" s="178">
        <v>0</v>
      </c>
      <c r="I21" s="177">
        <v>1</v>
      </c>
      <c r="J21" s="178">
        <v>0</v>
      </c>
      <c r="K21" s="178">
        <v>0</v>
      </c>
      <c r="L21" s="178">
        <v>0</v>
      </c>
      <c r="M21" s="177">
        <v>1</v>
      </c>
      <c r="N21" s="177">
        <v>0</v>
      </c>
      <c r="O21" s="178">
        <v>0</v>
      </c>
      <c r="P21" s="177">
        <v>0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0</v>
      </c>
      <c r="X21" s="177">
        <v>0</v>
      </c>
      <c r="Y21" s="177">
        <v>0</v>
      </c>
      <c r="Z21" s="177">
        <v>0</v>
      </c>
      <c r="AA21" s="177">
        <v>0</v>
      </c>
      <c r="AB21" s="177">
        <v>0</v>
      </c>
      <c r="AC21" s="177">
        <v>0</v>
      </c>
      <c r="AD21" s="178">
        <v>0</v>
      </c>
      <c r="AE21" s="177" t="s">
        <v>122</v>
      </c>
    </row>
    <row r="22" spans="1:31" ht="12.9" x14ac:dyDescent="0.35">
      <c r="A22" s="173">
        <v>2011</v>
      </c>
      <c r="B22" s="173" t="s">
        <v>100</v>
      </c>
      <c r="C22" s="173" t="s">
        <v>124</v>
      </c>
      <c r="D22" s="173" t="s">
        <v>146</v>
      </c>
      <c r="E22" s="174">
        <v>83</v>
      </c>
      <c r="F22" s="173" t="s">
        <v>26</v>
      </c>
      <c r="G22" s="177">
        <v>32</v>
      </c>
      <c r="H22" s="178">
        <v>0</v>
      </c>
      <c r="I22" s="177">
        <v>30</v>
      </c>
      <c r="J22" s="178">
        <v>0</v>
      </c>
      <c r="K22" s="178">
        <v>0</v>
      </c>
      <c r="L22" s="178">
        <v>0</v>
      </c>
      <c r="M22" s="177">
        <v>1</v>
      </c>
      <c r="N22" s="177">
        <v>0</v>
      </c>
      <c r="O22" s="178">
        <v>0</v>
      </c>
      <c r="P22" s="177">
        <v>0</v>
      </c>
      <c r="Q22" s="177">
        <v>0</v>
      </c>
      <c r="R22" s="177">
        <v>0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0</v>
      </c>
      <c r="Y22" s="177">
        <v>0</v>
      </c>
      <c r="Z22" s="177">
        <v>0</v>
      </c>
      <c r="AA22" s="177">
        <v>0</v>
      </c>
      <c r="AB22" s="177">
        <v>0</v>
      </c>
      <c r="AC22" s="177">
        <v>0</v>
      </c>
      <c r="AD22" s="178">
        <v>0</v>
      </c>
      <c r="AE22" s="177" t="s">
        <v>15</v>
      </c>
    </row>
    <row r="23" spans="1:31" ht="12.9" x14ac:dyDescent="0.35">
      <c r="A23" s="173">
        <v>2011</v>
      </c>
      <c r="B23" s="173" t="s">
        <v>100</v>
      </c>
      <c r="C23" s="173" t="s">
        <v>124</v>
      </c>
      <c r="D23" s="173" t="s">
        <v>147</v>
      </c>
      <c r="E23" s="174">
        <v>84</v>
      </c>
      <c r="F23" s="173" t="s">
        <v>41</v>
      </c>
      <c r="G23" s="177">
        <v>105</v>
      </c>
      <c r="H23" s="178">
        <v>0</v>
      </c>
      <c r="I23" s="177">
        <v>38</v>
      </c>
      <c r="J23" s="178">
        <v>0</v>
      </c>
      <c r="K23" s="178">
        <v>0</v>
      </c>
      <c r="L23" s="178">
        <v>0</v>
      </c>
      <c r="M23" s="178">
        <v>0</v>
      </c>
      <c r="N23" s="177">
        <v>0</v>
      </c>
      <c r="O23" s="178">
        <v>0</v>
      </c>
      <c r="P23" s="177">
        <v>1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177">
        <v>0</v>
      </c>
      <c r="Z23" s="177">
        <v>0</v>
      </c>
      <c r="AA23" s="177">
        <v>0</v>
      </c>
      <c r="AB23" s="177">
        <v>0</v>
      </c>
      <c r="AC23" s="177">
        <v>0</v>
      </c>
      <c r="AD23" s="178">
        <v>0</v>
      </c>
      <c r="AE23" s="177" t="s">
        <v>15</v>
      </c>
    </row>
    <row r="24" spans="1:31" ht="12.9" x14ac:dyDescent="0.35">
      <c r="A24" s="173">
        <v>2011</v>
      </c>
      <c r="B24" s="173" t="s">
        <v>100</v>
      </c>
      <c r="C24" s="173" t="s">
        <v>124</v>
      </c>
      <c r="D24" s="173" t="s">
        <v>148</v>
      </c>
      <c r="E24" s="174">
        <v>85</v>
      </c>
      <c r="F24" s="173" t="s">
        <v>48</v>
      </c>
      <c r="G24" s="177">
        <v>72</v>
      </c>
      <c r="H24" s="178">
        <v>0</v>
      </c>
      <c r="I24" s="177">
        <v>108</v>
      </c>
      <c r="J24" s="178">
        <v>0</v>
      </c>
      <c r="K24" s="178">
        <v>0</v>
      </c>
      <c r="L24" s="178">
        <v>0</v>
      </c>
      <c r="M24" s="177">
        <v>1</v>
      </c>
      <c r="N24" s="177">
        <v>0</v>
      </c>
      <c r="O24" s="178">
        <v>0</v>
      </c>
      <c r="P24" s="177">
        <v>0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177">
        <v>0</v>
      </c>
      <c r="Z24" s="177">
        <v>0</v>
      </c>
      <c r="AA24" s="177">
        <v>0</v>
      </c>
      <c r="AB24" s="177">
        <v>0</v>
      </c>
      <c r="AC24" s="177">
        <v>0</v>
      </c>
      <c r="AD24" s="178">
        <v>0</v>
      </c>
      <c r="AE24" s="177" t="s">
        <v>15</v>
      </c>
    </row>
    <row r="25" spans="1:31" ht="12.9" x14ac:dyDescent="0.35">
      <c r="A25" s="173">
        <v>2011</v>
      </c>
      <c r="B25" s="173" t="s">
        <v>100</v>
      </c>
      <c r="C25" s="173" t="s">
        <v>124</v>
      </c>
      <c r="D25" s="173" t="s">
        <v>149</v>
      </c>
      <c r="E25" s="174">
        <v>86</v>
      </c>
      <c r="F25" s="173" t="s">
        <v>35</v>
      </c>
      <c r="G25" s="177">
        <v>107</v>
      </c>
      <c r="H25" s="178">
        <v>0</v>
      </c>
      <c r="I25" s="177">
        <v>31</v>
      </c>
      <c r="J25" s="178">
        <v>0</v>
      </c>
      <c r="K25" s="178">
        <v>0</v>
      </c>
      <c r="L25" s="178">
        <v>0</v>
      </c>
      <c r="M25" s="178">
        <v>0</v>
      </c>
      <c r="N25" s="177">
        <v>0</v>
      </c>
      <c r="O25" s="178">
        <v>0</v>
      </c>
      <c r="P25" s="177">
        <v>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0</v>
      </c>
      <c r="Y25" s="177">
        <v>0</v>
      </c>
      <c r="Z25" s="177">
        <v>0</v>
      </c>
      <c r="AA25" s="177">
        <v>0</v>
      </c>
      <c r="AB25" s="177">
        <v>0</v>
      </c>
      <c r="AC25" s="177">
        <v>0</v>
      </c>
      <c r="AD25" s="178">
        <v>0</v>
      </c>
      <c r="AE25" s="177" t="s">
        <v>15</v>
      </c>
    </row>
    <row r="26" spans="1:31" ht="12.9" x14ac:dyDescent="0.35">
      <c r="A26" s="173">
        <v>2011</v>
      </c>
      <c r="B26" s="173" t="s">
        <v>100</v>
      </c>
      <c r="C26" s="173" t="s">
        <v>124</v>
      </c>
      <c r="D26" s="173" t="s">
        <v>150</v>
      </c>
      <c r="E26" s="174">
        <v>87</v>
      </c>
      <c r="F26" s="173" t="s">
        <v>36</v>
      </c>
      <c r="G26" s="177">
        <v>3</v>
      </c>
      <c r="H26" s="178">
        <v>0</v>
      </c>
      <c r="I26" s="177">
        <v>67</v>
      </c>
      <c r="J26" s="178">
        <v>0</v>
      </c>
      <c r="K26" s="178">
        <v>0</v>
      </c>
      <c r="L26" s="178">
        <v>0</v>
      </c>
      <c r="M26" s="178">
        <v>0</v>
      </c>
      <c r="N26" s="177">
        <v>0</v>
      </c>
      <c r="O26" s="178">
        <v>0</v>
      </c>
      <c r="P26" s="177">
        <v>0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0</v>
      </c>
      <c r="Y26" s="177">
        <v>0</v>
      </c>
      <c r="Z26" s="177">
        <v>0</v>
      </c>
      <c r="AA26" s="177">
        <v>0</v>
      </c>
      <c r="AB26" s="177">
        <v>0</v>
      </c>
      <c r="AC26" s="177">
        <v>0</v>
      </c>
      <c r="AD26" s="178">
        <v>0</v>
      </c>
      <c r="AE26" s="177" t="s">
        <v>20</v>
      </c>
    </row>
    <row r="27" spans="1:31" x14ac:dyDescent="0.3">
      <c r="F27" s="78" t="s">
        <v>9</v>
      </c>
      <c r="G27" s="78">
        <f>SUM(G2:G26)</f>
        <v>548</v>
      </c>
      <c r="H27" s="78">
        <f t="shared" ref="H27:AD27" si="0">SUM(H2:H26)</f>
        <v>4</v>
      </c>
      <c r="I27" s="78">
        <f t="shared" si="0"/>
        <v>688</v>
      </c>
      <c r="J27" s="78">
        <f t="shared" si="0"/>
        <v>8</v>
      </c>
      <c r="K27" s="78">
        <f t="shared" si="0"/>
        <v>14</v>
      </c>
      <c r="L27" s="78">
        <f t="shared" si="0"/>
        <v>1</v>
      </c>
      <c r="M27" s="78">
        <f t="shared" si="0"/>
        <v>11</v>
      </c>
      <c r="N27" s="78">
        <f t="shared" si="0"/>
        <v>1</v>
      </c>
      <c r="O27" s="78">
        <f t="shared" si="0"/>
        <v>1</v>
      </c>
      <c r="P27" s="78">
        <f t="shared" si="0"/>
        <v>1</v>
      </c>
      <c r="Q27" s="78">
        <f t="shared" si="0"/>
        <v>4</v>
      </c>
      <c r="R27" s="78">
        <f t="shared" si="0"/>
        <v>7</v>
      </c>
      <c r="S27" s="78">
        <f t="shared" si="0"/>
        <v>1</v>
      </c>
      <c r="T27" s="78">
        <f t="shared" si="0"/>
        <v>1</v>
      </c>
      <c r="U27" s="78">
        <f t="shared" si="0"/>
        <v>1</v>
      </c>
      <c r="V27" s="78">
        <f t="shared" si="0"/>
        <v>1</v>
      </c>
      <c r="W27" s="78">
        <f t="shared" si="0"/>
        <v>2</v>
      </c>
      <c r="X27" s="78">
        <f t="shared" si="0"/>
        <v>1</v>
      </c>
      <c r="Y27" s="78">
        <f t="shared" si="0"/>
        <v>1</v>
      </c>
      <c r="Z27" s="78">
        <f t="shared" si="0"/>
        <v>1</v>
      </c>
      <c r="AA27" s="78">
        <f t="shared" si="0"/>
        <v>1</v>
      </c>
      <c r="AB27" s="78">
        <f t="shared" si="0"/>
        <v>1</v>
      </c>
      <c r="AC27" s="78">
        <f t="shared" si="0"/>
        <v>3</v>
      </c>
      <c r="AD27" s="78">
        <f t="shared" si="0"/>
        <v>1</v>
      </c>
      <c r="AE27" s="78" t="s">
        <v>20</v>
      </c>
    </row>
    <row r="28" spans="1:31" x14ac:dyDescent="0.3">
      <c r="F28" s="78" t="s">
        <v>70</v>
      </c>
      <c r="G28" s="78">
        <f>G27/25</f>
        <v>21.92</v>
      </c>
      <c r="H28" s="78">
        <f t="shared" ref="H28:AD28" si="1">H27/25</f>
        <v>0.16</v>
      </c>
      <c r="I28" s="78">
        <f t="shared" si="1"/>
        <v>27.52</v>
      </c>
      <c r="J28" s="78">
        <f t="shared" si="1"/>
        <v>0.32</v>
      </c>
      <c r="K28" s="78">
        <f t="shared" si="1"/>
        <v>0.56000000000000005</v>
      </c>
      <c r="L28" s="78">
        <f t="shared" si="1"/>
        <v>0.04</v>
      </c>
      <c r="M28" s="78">
        <f t="shared" si="1"/>
        <v>0.44</v>
      </c>
      <c r="N28" s="78">
        <f t="shared" si="1"/>
        <v>0.04</v>
      </c>
      <c r="O28" s="78">
        <f t="shared" si="1"/>
        <v>0.04</v>
      </c>
      <c r="P28" s="78">
        <f t="shared" si="1"/>
        <v>0.04</v>
      </c>
      <c r="Q28" s="78">
        <f t="shared" si="1"/>
        <v>0.16</v>
      </c>
      <c r="R28" s="78">
        <f t="shared" si="1"/>
        <v>0.28000000000000003</v>
      </c>
      <c r="S28" s="78">
        <f t="shared" si="1"/>
        <v>0.04</v>
      </c>
      <c r="T28" s="78">
        <f t="shared" si="1"/>
        <v>0.04</v>
      </c>
      <c r="U28" s="78">
        <f t="shared" si="1"/>
        <v>0.04</v>
      </c>
      <c r="V28" s="78">
        <f t="shared" si="1"/>
        <v>0.04</v>
      </c>
      <c r="W28" s="78">
        <f t="shared" si="1"/>
        <v>0.08</v>
      </c>
      <c r="X28" s="78">
        <f t="shared" si="1"/>
        <v>0.04</v>
      </c>
      <c r="Y28" s="78">
        <f t="shared" si="1"/>
        <v>0.04</v>
      </c>
      <c r="Z28" s="78">
        <f t="shared" si="1"/>
        <v>0.04</v>
      </c>
      <c r="AA28" s="78">
        <f t="shared" si="1"/>
        <v>0.04</v>
      </c>
      <c r="AB28" s="78">
        <f t="shared" si="1"/>
        <v>0.04</v>
      </c>
      <c r="AC28" s="78">
        <f t="shared" si="1"/>
        <v>0.12</v>
      </c>
      <c r="AD28" s="78">
        <f t="shared" si="1"/>
        <v>0.04</v>
      </c>
    </row>
    <row r="29" spans="1:31" x14ac:dyDescent="0.3">
      <c r="F29" s="78" t="s">
        <v>73</v>
      </c>
      <c r="G29" s="78">
        <f>G27/21</f>
        <v>26.095238095238095</v>
      </c>
      <c r="H29" s="78">
        <v>2</v>
      </c>
      <c r="I29" s="78">
        <f>I27/25</f>
        <v>27.52</v>
      </c>
    </row>
  </sheetData>
  <autoFilter ref="A1:AE29" xr:uid="{00000000-0009-0000-0000-000018000000}"/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 tint="0.59999389629810485"/>
  </sheetPr>
  <dimension ref="A1:U42"/>
  <sheetViews>
    <sheetView zoomScaleNormal="100" workbookViewId="0">
      <selection activeCell="D18" sqref="D18"/>
    </sheetView>
  </sheetViews>
  <sheetFormatPr defaultColWidth="8.765625" defaultRowHeight="11.6" x14ac:dyDescent="0.3"/>
  <cols>
    <col min="1" max="1" width="7.4609375" style="78" customWidth="1"/>
    <col min="2" max="2" width="4" style="78" customWidth="1"/>
    <col min="3" max="3" width="21.3046875" style="78" customWidth="1"/>
    <col min="4" max="4" width="4" style="78" customWidth="1"/>
    <col min="5" max="5" width="3.69140625" style="78" customWidth="1"/>
    <col min="6" max="6" width="4.4609375" style="78" customWidth="1"/>
    <col min="7" max="7" width="4.3046875" style="78" customWidth="1"/>
    <col min="8" max="8" width="3.3046875" style="78" customWidth="1"/>
    <col min="9" max="9" width="3.4609375" style="78" customWidth="1"/>
    <col min="10" max="12" width="3.3046875" style="78" customWidth="1"/>
    <col min="13" max="17" width="3.69140625" style="78" customWidth="1"/>
    <col min="18" max="18" width="5" style="78" customWidth="1"/>
    <col min="19" max="16384" width="8.765625" style="78"/>
  </cols>
  <sheetData>
    <row r="1" spans="1:18" ht="12.45" x14ac:dyDescent="0.3">
      <c r="B1" s="76"/>
      <c r="C1" s="76"/>
      <c r="D1" s="279" t="s">
        <v>67</v>
      </c>
      <c r="E1" s="280"/>
      <c r="F1" s="281"/>
      <c r="G1" s="282"/>
      <c r="H1" s="282"/>
      <c r="I1" s="282"/>
      <c r="J1" s="282"/>
      <c r="K1" s="283"/>
      <c r="L1" s="283"/>
      <c r="M1" s="283"/>
      <c r="N1" s="284"/>
      <c r="O1" s="284"/>
      <c r="P1" s="284"/>
      <c r="Q1" s="151"/>
      <c r="R1" s="77"/>
    </row>
    <row r="2" spans="1:18" ht="117.45" customHeight="1" x14ac:dyDescent="0.3">
      <c r="A2" s="78" t="s">
        <v>98</v>
      </c>
      <c r="B2" s="58" t="s">
        <v>0</v>
      </c>
      <c r="C2" s="58" t="s">
        <v>25</v>
      </c>
      <c r="D2" s="59" t="s">
        <v>5</v>
      </c>
      <c r="E2" s="59" t="s">
        <v>6</v>
      </c>
      <c r="F2" s="59" t="s">
        <v>1</v>
      </c>
      <c r="G2" s="59" t="s">
        <v>4</v>
      </c>
      <c r="H2" s="59" t="s">
        <v>3</v>
      </c>
      <c r="I2" s="60" t="s">
        <v>2</v>
      </c>
      <c r="J2" s="59" t="s">
        <v>93</v>
      </c>
      <c r="K2" s="60" t="s">
        <v>96</v>
      </c>
      <c r="L2" s="60" t="s">
        <v>95</v>
      </c>
      <c r="M2" s="59" t="s">
        <v>72</v>
      </c>
      <c r="N2" s="59" t="s">
        <v>86</v>
      </c>
      <c r="O2" s="59" t="s">
        <v>88</v>
      </c>
      <c r="P2" s="59" t="s">
        <v>22</v>
      </c>
      <c r="Q2" s="59" t="s">
        <v>94</v>
      </c>
      <c r="R2" s="59" t="s">
        <v>13</v>
      </c>
    </row>
    <row r="3" spans="1:18" x14ac:dyDescent="0.3">
      <c r="A3" s="78" t="s">
        <v>99</v>
      </c>
      <c r="B3" s="62">
        <v>30</v>
      </c>
      <c r="C3" s="62" t="s">
        <v>89</v>
      </c>
      <c r="D3" s="62">
        <v>0</v>
      </c>
      <c r="E3" s="62">
        <v>0</v>
      </c>
      <c r="F3" s="62">
        <v>75</v>
      </c>
      <c r="G3" s="62">
        <v>0</v>
      </c>
      <c r="H3" s="62">
        <v>1</v>
      </c>
      <c r="I3" s="62">
        <v>0</v>
      </c>
      <c r="J3" s="62">
        <v>0</v>
      </c>
      <c r="K3" s="62">
        <v>0</v>
      </c>
      <c r="L3" s="62">
        <v>0</v>
      </c>
      <c r="M3" s="62">
        <v>0</v>
      </c>
      <c r="N3" s="62">
        <v>0</v>
      </c>
      <c r="O3" s="64">
        <v>0</v>
      </c>
      <c r="P3" s="64">
        <v>0</v>
      </c>
      <c r="Q3" s="64">
        <v>0</v>
      </c>
      <c r="R3" s="64" t="s">
        <v>14</v>
      </c>
    </row>
    <row r="4" spans="1:18" x14ac:dyDescent="0.3">
      <c r="A4" s="78" t="s">
        <v>99</v>
      </c>
      <c r="B4" s="62">
        <v>38</v>
      </c>
      <c r="C4" s="62" t="s">
        <v>43</v>
      </c>
      <c r="D4" s="62">
        <v>1</v>
      </c>
      <c r="E4" s="62">
        <v>0</v>
      </c>
      <c r="F4" s="62">
        <v>15</v>
      </c>
      <c r="G4" s="62">
        <v>0</v>
      </c>
      <c r="H4" s="62">
        <v>0</v>
      </c>
      <c r="I4" s="62">
        <v>0</v>
      </c>
      <c r="J4" s="62">
        <v>0</v>
      </c>
      <c r="K4" s="62">
        <v>0</v>
      </c>
      <c r="L4" s="62">
        <v>0</v>
      </c>
      <c r="M4" s="62">
        <v>0</v>
      </c>
      <c r="N4" s="62">
        <v>0</v>
      </c>
      <c r="O4" s="64">
        <v>0</v>
      </c>
      <c r="P4" s="64">
        <v>0</v>
      </c>
      <c r="Q4" s="64">
        <v>0</v>
      </c>
      <c r="R4" s="64" t="s">
        <v>14</v>
      </c>
    </row>
    <row r="5" spans="1:18" x14ac:dyDescent="0.3">
      <c r="A5" s="78" t="s">
        <v>99</v>
      </c>
      <c r="B5" s="62">
        <v>58</v>
      </c>
      <c r="C5" s="62" t="s">
        <v>44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2">
        <v>0</v>
      </c>
      <c r="K5" s="62">
        <v>1</v>
      </c>
      <c r="L5" s="62">
        <v>0</v>
      </c>
      <c r="M5" s="62">
        <v>0</v>
      </c>
      <c r="N5" s="62">
        <v>0</v>
      </c>
      <c r="O5" s="64">
        <v>0</v>
      </c>
      <c r="P5" s="64">
        <v>0</v>
      </c>
      <c r="Q5" s="64">
        <v>0</v>
      </c>
      <c r="R5" s="64" t="s">
        <v>14</v>
      </c>
    </row>
    <row r="6" spans="1:18" x14ac:dyDescent="0.3">
      <c r="A6" s="78" t="s">
        <v>99</v>
      </c>
      <c r="B6" s="62">
        <v>61</v>
      </c>
      <c r="C6" s="62" t="s">
        <v>45</v>
      </c>
      <c r="D6" s="62">
        <v>1</v>
      </c>
      <c r="E6" s="62">
        <v>0</v>
      </c>
      <c r="F6" s="62">
        <v>176</v>
      </c>
      <c r="G6" s="62">
        <v>0</v>
      </c>
      <c r="H6" s="62">
        <v>0</v>
      </c>
      <c r="I6" s="62">
        <v>1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4">
        <v>0</v>
      </c>
      <c r="P6" s="64">
        <v>0</v>
      </c>
      <c r="Q6" s="64">
        <v>0</v>
      </c>
      <c r="R6" s="64" t="s">
        <v>14</v>
      </c>
    </row>
    <row r="7" spans="1:18" x14ac:dyDescent="0.3">
      <c r="A7" s="78" t="s">
        <v>99</v>
      </c>
      <c r="B7" s="62">
        <v>62</v>
      </c>
      <c r="C7" s="62" t="s">
        <v>46</v>
      </c>
      <c r="D7" s="62">
        <v>7</v>
      </c>
      <c r="E7" s="62">
        <v>0</v>
      </c>
      <c r="F7" s="62">
        <v>2</v>
      </c>
      <c r="G7" s="62">
        <v>3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4">
        <v>0</v>
      </c>
      <c r="P7" s="64">
        <v>0</v>
      </c>
      <c r="Q7" s="64">
        <v>0</v>
      </c>
      <c r="R7" s="64" t="s">
        <v>14</v>
      </c>
    </row>
    <row r="8" spans="1:18" x14ac:dyDescent="0.3">
      <c r="A8" s="78" t="s">
        <v>99</v>
      </c>
      <c r="B8" s="62">
        <v>65</v>
      </c>
      <c r="C8" s="62" t="s">
        <v>47</v>
      </c>
      <c r="D8" s="62">
        <v>0</v>
      </c>
      <c r="E8" s="62">
        <v>0</v>
      </c>
      <c r="F8" s="62">
        <v>34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4">
        <v>0</v>
      </c>
      <c r="P8" s="64">
        <v>0</v>
      </c>
      <c r="Q8" s="64">
        <v>0</v>
      </c>
      <c r="R8" s="64" t="s">
        <v>14</v>
      </c>
    </row>
    <row r="9" spans="1:18" x14ac:dyDescent="0.3">
      <c r="A9" s="78" t="s">
        <v>99</v>
      </c>
      <c r="B9" s="62">
        <v>70</v>
      </c>
      <c r="C9" s="62" t="s">
        <v>27</v>
      </c>
      <c r="D9" s="62">
        <v>1</v>
      </c>
      <c r="E9" s="62">
        <v>0</v>
      </c>
      <c r="F9" s="62">
        <v>31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4">
        <v>0</v>
      </c>
      <c r="P9" s="64">
        <v>0</v>
      </c>
      <c r="Q9" s="64">
        <v>0</v>
      </c>
      <c r="R9" s="64" t="s">
        <v>14</v>
      </c>
    </row>
    <row r="10" spans="1:18" x14ac:dyDescent="0.3">
      <c r="A10" s="78" t="s">
        <v>99</v>
      </c>
      <c r="B10" s="62">
        <v>71</v>
      </c>
      <c r="C10" s="62" t="s">
        <v>28</v>
      </c>
      <c r="D10" s="62">
        <v>0</v>
      </c>
      <c r="E10" s="62">
        <v>0</v>
      </c>
      <c r="F10" s="62">
        <v>116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1</v>
      </c>
      <c r="O10" s="64">
        <v>0</v>
      </c>
      <c r="P10" s="64">
        <v>0</v>
      </c>
      <c r="Q10" s="64">
        <v>0</v>
      </c>
      <c r="R10" s="64" t="s">
        <v>14</v>
      </c>
    </row>
    <row r="11" spans="1:18" x14ac:dyDescent="0.3">
      <c r="A11" s="78" t="s">
        <v>99</v>
      </c>
      <c r="B11" s="62">
        <v>79</v>
      </c>
      <c r="C11" s="62" t="s">
        <v>29</v>
      </c>
      <c r="D11" s="62">
        <v>0</v>
      </c>
      <c r="E11" s="62">
        <v>0</v>
      </c>
      <c r="F11" s="62">
        <v>22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4">
        <v>0</v>
      </c>
      <c r="P11" s="64">
        <v>0</v>
      </c>
      <c r="Q11" s="64">
        <v>0</v>
      </c>
      <c r="R11" s="64" t="s">
        <v>14</v>
      </c>
    </row>
    <row r="12" spans="1:18" x14ac:dyDescent="0.3">
      <c r="A12" s="78" t="s">
        <v>99</v>
      </c>
      <c r="B12" s="62">
        <v>80</v>
      </c>
      <c r="C12" s="62" t="s">
        <v>30</v>
      </c>
      <c r="D12" s="62">
        <v>0</v>
      </c>
      <c r="E12" s="62">
        <v>0</v>
      </c>
      <c r="F12" s="62">
        <v>12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4">
        <v>0</v>
      </c>
      <c r="P12" s="64">
        <v>0</v>
      </c>
      <c r="Q12" s="64">
        <v>0</v>
      </c>
      <c r="R12" s="64" t="s">
        <v>14</v>
      </c>
    </row>
    <row r="13" spans="1:18" x14ac:dyDescent="0.3">
      <c r="A13" s="78" t="s">
        <v>99</v>
      </c>
      <c r="B13" s="62">
        <v>81</v>
      </c>
      <c r="C13" s="62" t="s">
        <v>31</v>
      </c>
      <c r="D13" s="62">
        <v>0</v>
      </c>
      <c r="E13" s="62">
        <v>0</v>
      </c>
      <c r="F13" s="62">
        <v>2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1</v>
      </c>
      <c r="M13" s="62">
        <v>0</v>
      </c>
      <c r="N13" s="62">
        <v>0</v>
      </c>
      <c r="O13" s="64">
        <v>0</v>
      </c>
      <c r="P13" s="64">
        <v>0</v>
      </c>
      <c r="Q13" s="64">
        <v>0</v>
      </c>
      <c r="R13" s="64" t="s">
        <v>14</v>
      </c>
    </row>
    <row r="14" spans="1:18" x14ac:dyDescent="0.3">
      <c r="A14" s="78" t="s">
        <v>99</v>
      </c>
      <c r="B14" s="62">
        <v>82</v>
      </c>
      <c r="C14" s="62" t="s">
        <v>32</v>
      </c>
      <c r="D14" s="62">
        <v>2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4">
        <v>0</v>
      </c>
      <c r="P14" s="64">
        <v>0</v>
      </c>
      <c r="Q14" s="64">
        <v>0</v>
      </c>
      <c r="R14" s="64" t="s">
        <v>14</v>
      </c>
    </row>
    <row r="15" spans="1:18" x14ac:dyDescent="0.3">
      <c r="A15" s="78" t="s">
        <v>100</v>
      </c>
      <c r="B15" s="62">
        <v>66</v>
      </c>
      <c r="C15" s="62" t="s">
        <v>52</v>
      </c>
      <c r="D15" s="62">
        <v>2</v>
      </c>
      <c r="E15" s="62">
        <v>0</v>
      </c>
      <c r="F15" s="62">
        <v>0</v>
      </c>
      <c r="G15" s="62">
        <v>1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1</v>
      </c>
      <c r="O15" s="64">
        <v>0</v>
      </c>
      <c r="P15" s="64">
        <v>0</v>
      </c>
      <c r="Q15" s="64">
        <v>0</v>
      </c>
      <c r="R15" s="64" t="s">
        <v>14</v>
      </c>
    </row>
    <row r="16" spans="1:18" x14ac:dyDescent="0.3">
      <c r="A16" s="78" t="s">
        <v>100</v>
      </c>
      <c r="B16" s="62">
        <v>69</v>
      </c>
      <c r="C16" s="62" t="s">
        <v>33</v>
      </c>
      <c r="D16" s="62">
        <v>1</v>
      </c>
      <c r="E16" s="62">
        <v>0</v>
      </c>
      <c r="F16" s="62">
        <v>22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4">
        <v>0</v>
      </c>
      <c r="P16" s="64">
        <v>0</v>
      </c>
      <c r="Q16" s="64">
        <v>0</v>
      </c>
      <c r="R16" s="64" t="s">
        <v>14</v>
      </c>
    </row>
    <row r="17" spans="1:18" x14ac:dyDescent="0.3">
      <c r="A17" s="78" t="s">
        <v>100</v>
      </c>
      <c r="B17" s="62">
        <v>72</v>
      </c>
      <c r="C17" s="62" t="s">
        <v>34</v>
      </c>
      <c r="D17" s="62">
        <v>10</v>
      </c>
      <c r="E17" s="62">
        <v>0</v>
      </c>
      <c r="F17" s="62">
        <v>11</v>
      </c>
      <c r="G17" s="62">
        <v>0</v>
      </c>
      <c r="H17" s="62">
        <v>0</v>
      </c>
      <c r="I17" s="62">
        <v>0</v>
      </c>
      <c r="J17" s="62">
        <v>1</v>
      </c>
      <c r="K17" s="62">
        <v>0</v>
      </c>
      <c r="L17" s="62">
        <v>0</v>
      </c>
      <c r="M17" s="62">
        <v>0</v>
      </c>
      <c r="N17" s="62">
        <v>0</v>
      </c>
      <c r="O17" s="64">
        <v>0</v>
      </c>
      <c r="P17" s="64">
        <v>0</v>
      </c>
      <c r="Q17" s="64">
        <v>1</v>
      </c>
      <c r="R17" s="64" t="s">
        <v>14</v>
      </c>
    </row>
    <row r="18" spans="1:18" x14ac:dyDescent="0.3">
      <c r="A18" s="78" t="s">
        <v>100</v>
      </c>
      <c r="B18" s="62">
        <v>73</v>
      </c>
      <c r="C18" s="62" t="s">
        <v>50</v>
      </c>
      <c r="D18" s="62">
        <v>1</v>
      </c>
      <c r="E18" s="62">
        <v>0</v>
      </c>
      <c r="F18" s="62">
        <v>43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4">
        <v>0</v>
      </c>
      <c r="P18" s="64">
        <v>0</v>
      </c>
      <c r="Q18" s="64">
        <v>0</v>
      </c>
      <c r="R18" s="64" t="s">
        <v>14</v>
      </c>
    </row>
    <row r="19" spans="1:18" x14ac:dyDescent="0.3">
      <c r="A19" s="78" t="s">
        <v>100</v>
      </c>
      <c r="B19" s="62">
        <v>74</v>
      </c>
      <c r="C19" s="62" t="s">
        <v>37</v>
      </c>
      <c r="D19" s="62">
        <v>2</v>
      </c>
      <c r="E19" s="62">
        <v>0</v>
      </c>
      <c r="F19" s="62">
        <v>17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4">
        <v>1</v>
      </c>
      <c r="P19" s="64">
        <v>0</v>
      </c>
      <c r="Q19" s="64">
        <v>1</v>
      </c>
      <c r="R19" s="64" t="s">
        <v>14</v>
      </c>
    </row>
    <row r="20" spans="1:18" x14ac:dyDescent="0.3">
      <c r="A20" s="78" t="s">
        <v>100</v>
      </c>
      <c r="B20" s="62">
        <v>75</v>
      </c>
      <c r="C20" s="62" t="s">
        <v>38</v>
      </c>
      <c r="D20" s="62">
        <v>0</v>
      </c>
      <c r="E20" s="62">
        <v>0</v>
      </c>
      <c r="F20" s="62">
        <v>13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4">
        <v>0</v>
      </c>
      <c r="P20" s="64">
        <v>0</v>
      </c>
      <c r="Q20" s="64">
        <v>0</v>
      </c>
      <c r="R20" s="64" t="s">
        <v>14</v>
      </c>
    </row>
    <row r="21" spans="1:18" x14ac:dyDescent="0.3">
      <c r="A21" s="78" t="s">
        <v>100</v>
      </c>
      <c r="B21" s="62">
        <v>76</v>
      </c>
      <c r="C21" s="62" t="s">
        <v>39</v>
      </c>
      <c r="D21" s="62">
        <v>5</v>
      </c>
      <c r="E21" s="62">
        <v>0</v>
      </c>
      <c r="F21" s="62">
        <v>1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4">
        <v>0</v>
      </c>
      <c r="P21" s="64">
        <v>0</v>
      </c>
      <c r="Q21" s="64">
        <v>0</v>
      </c>
      <c r="R21" s="64" t="s">
        <v>14</v>
      </c>
    </row>
    <row r="22" spans="1:18" x14ac:dyDescent="0.3">
      <c r="A22" s="78" t="s">
        <v>100</v>
      </c>
      <c r="B22" s="62">
        <v>78</v>
      </c>
      <c r="C22" s="62" t="s">
        <v>40</v>
      </c>
      <c r="D22" s="62">
        <v>7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4">
        <v>0</v>
      </c>
      <c r="P22" s="64">
        <v>1</v>
      </c>
      <c r="Q22" s="64">
        <v>0</v>
      </c>
      <c r="R22" s="64" t="s">
        <v>14</v>
      </c>
    </row>
    <row r="23" spans="1:18" x14ac:dyDescent="0.3">
      <c r="A23" s="78" t="s">
        <v>100</v>
      </c>
      <c r="B23" s="62">
        <v>83</v>
      </c>
      <c r="C23" s="62" t="s">
        <v>26</v>
      </c>
      <c r="D23" s="62">
        <v>1</v>
      </c>
      <c r="E23" s="62">
        <v>0</v>
      </c>
      <c r="F23" s="62">
        <v>26</v>
      </c>
      <c r="G23" s="62">
        <v>0</v>
      </c>
      <c r="H23" s="62">
        <v>0</v>
      </c>
      <c r="I23" s="62">
        <v>1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4">
        <v>0</v>
      </c>
      <c r="P23" s="64">
        <v>0</v>
      </c>
      <c r="Q23" s="64">
        <v>0</v>
      </c>
      <c r="R23" s="67" t="s">
        <v>14</v>
      </c>
    </row>
    <row r="24" spans="1:18" x14ac:dyDescent="0.3">
      <c r="A24" s="78" t="s">
        <v>100</v>
      </c>
      <c r="B24" s="62">
        <v>84</v>
      </c>
      <c r="C24" s="62" t="s">
        <v>41</v>
      </c>
      <c r="D24" s="62">
        <v>1</v>
      </c>
      <c r="E24" s="62">
        <v>0</v>
      </c>
      <c r="F24" s="62">
        <v>31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4">
        <v>0</v>
      </c>
      <c r="P24" s="64">
        <v>0</v>
      </c>
      <c r="Q24" s="64">
        <v>0</v>
      </c>
      <c r="R24" s="64" t="s">
        <v>14</v>
      </c>
    </row>
    <row r="25" spans="1:18" x14ac:dyDescent="0.3">
      <c r="A25" s="78" t="s">
        <v>100</v>
      </c>
      <c r="B25" s="62">
        <v>85</v>
      </c>
      <c r="C25" s="62" t="s">
        <v>48</v>
      </c>
      <c r="D25" s="62">
        <v>5</v>
      </c>
      <c r="E25" s="62">
        <v>0</v>
      </c>
      <c r="F25" s="62">
        <v>12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4">
        <v>0</v>
      </c>
      <c r="P25" s="64">
        <v>0</v>
      </c>
      <c r="Q25" s="64">
        <v>0</v>
      </c>
      <c r="R25" s="64" t="s">
        <v>14</v>
      </c>
    </row>
    <row r="26" spans="1:18" x14ac:dyDescent="0.3">
      <c r="A26" s="78" t="s">
        <v>100</v>
      </c>
      <c r="B26" s="62">
        <v>86</v>
      </c>
      <c r="C26" s="62" t="s">
        <v>35</v>
      </c>
      <c r="D26" s="62">
        <v>11</v>
      </c>
      <c r="E26" s="62">
        <v>0</v>
      </c>
      <c r="F26" s="62">
        <v>200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1</v>
      </c>
      <c r="N26" s="62">
        <v>0</v>
      </c>
      <c r="O26" s="64">
        <v>0</v>
      </c>
      <c r="P26" s="64">
        <v>0</v>
      </c>
      <c r="Q26" s="64">
        <v>0</v>
      </c>
      <c r="R26" s="64" t="s">
        <v>14</v>
      </c>
    </row>
    <row r="27" spans="1:18" x14ac:dyDescent="0.3">
      <c r="A27" s="78" t="s">
        <v>100</v>
      </c>
      <c r="B27" s="62">
        <v>87</v>
      </c>
      <c r="C27" s="62" t="s">
        <v>36</v>
      </c>
      <c r="D27" s="62">
        <v>1</v>
      </c>
      <c r="E27" s="62">
        <v>0</v>
      </c>
      <c r="F27" s="62">
        <v>38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4">
        <v>0</v>
      </c>
      <c r="P27" s="64">
        <v>0</v>
      </c>
      <c r="Q27" s="64">
        <v>1</v>
      </c>
      <c r="R27" s="64" t="s">
        <v>14</v>
      </c>
    </row>
    <row r="28" spans="1:18" x14ac:dyDescent="0.3">
      <c r="A28" s="78" t="s">
        <v>20</v>
      </c>
      <c r="B28" s="68" t="s">
        <v>20</v>
      </c>
      <c r="C28" s="68" t="s">
        <v>9</v>
      </c>
      <c r="D28" s="68">
        <f t="shared" ref="D28:Q28" si="0">SUM(D3:D27)</f>
        <v>59</v>
      </c>
      <c r="E28" s="68">
        <f t="shared" si="0"/>
        <v>0</v>
      </c>
      <c r="F28" s="68">
        <f t="shared" si="0"/>
        <v>899</v>
      </c>
      <c r="G28" s="68">
        <f t="shared" si="0"/>
        <v>4</v>
      </c>
      <c r="H28" s="68">
        <f t="shared" si="0"/>
        <v>1</v>
      </c>
      <c r="I28" s="68">
        <f t="shared" si="0"/>
        <v>2</v>
      </c>
      <c r="J28" s="68">
        <f t="shared" si="0"/>
        <v>1</v>
      </c>
      <c r="K28" s="68">
        <f t="shared" si="0"/>
        <v>1</v>
      </c>
      <c r="L28" s="68">
        <f t="shared" si="0"/>
        <v>1</v>
      </c>
      <c r="M28" s="68">
        <f t="shared" si="0"/>
        <v>1</v>
      </c>
      <c r="N28" s="68">
        <f t="shared" si="0"/>
        <v>2</v>
      </c>
      <c r="O28" s="68">
        <f t="shared" si="0"/>
        <v>1</v>
      </c>
      <c r="P28" s="68">
        <f t="shared" si="0"/>
        <v>1</v>
      </c>
      <c r="Q28" s="68">
        <f t="shared" si="0"/>
        <v>3</v>
      </c>
      <c r="R28" s="147"/>
    </row>
    <row r="29" spans="1:18" x14ac:dyDescent="0.3">
      <c r="B29" s="72" t="s">
        <v>20</v>
      </c>
      <c r="C29" s="73" t="s">
        <v>70</v>
      </c>
      <c r="D29" s="105">
        <f t="shared" ref="D29:Q29" si="1">D28/25</f>
        <v>2.36</v>
      </c>
      <c r="E29" s="105">
        <f t="shared" si="1"/>
        <v>0</v>
      </c>
      <c r="F29" s="105">
        <f t="shared" si="1"/>
        <v>35.96</v>
      </c>
      <c r="G29" s="105">
        <f t="shared" si="1"/>
        <v>0.16</v>
      </c>
      <c r="H29" s="105">
        <f t="shared" si="1"/>
        <v>0.04</v>
      </c>
      <c r="I29" s="105">
        <f t="shared" si="1"/>
        <v>0.08</v>
      </c>
      <c r="J29" s="105">
        <f t="shared" si="1"/>
        <v>0.04</v>
      </c>
      <c r="K29" s="105">
        <f t="shared" si="1"/>
        <v>0.04</v>
      </c>
      <c r="L29" s="105">
        <f t="shared" si="1"/>
        <v>0.04</v>
      </c>
      <c r="M29" s="105">
        <f t="shared" si="1"/>
        <v>0.04</v>
      </c>
      <c r="N29" s="105">
        <f t="shared" si="1"/>
        <v>0.08</v>
      </c>
      <c r="O29" s="105">
        <f t="shared" si="1"/>
        <v>0.04</v>
      </c>
      <c r="P29" s="105">
        <f t="shared" si="1"/>
        <v>0.04</v>
      </c>
      <c r="Q29" s="105">
        <f t="shared" si="1"/>
        <v>0.12</v>
      </c>
      <c r="R29" s="148"/>
    </row>
    <row r="30" spans="1:18" ht="18" customHeight="1" x14ac:dyDescent="0.3">
      <c r="B30" s="76"/>
      <c r="C30" s="108" t="s">
        <v>73</v>
      </c>
      <c r="D30" s="105">
        <f>D28/17</f>
        <v>3.4705882352941178</v>
      </c>
      <c r="E30" s="105">
        <f>E28/2</f>
        <v>0</v>
      </c>
      <c r="F30" s="105">
        <f>F28/21</f>
        <v>42.80952380952381</v>
      </c>
      <c r="G30" s="105">
        <f>G28/2</f>
        <v>2</v>
      </c>
      <c r="H30" s="105">
        <f>H28/1</f>
        <v>1</v>
      </c>
      <c r="I30" s="105">
        <f>I28/2</f>
        <v>1</v>
      </c>
      <c r="J30" s="105">
        <f>J28/1</f>
        <v>1</v>
      </c>
      <c r="K30" s="105">
        <f>K28/1</f>
        <v>1</v>
      </c>
      <c r="L30" s="105">
        <f>L28/1</f>
        <v>1</v>
      </c>
      <c r="M30" s="105">
        <f>M28/1</f>
        <v>1</v>
      </c>
      <c r="N30" s="105">
        <f>N28/2</f>
        <v>1</v>
      </c>
      <c r="O30" s="105">
        <f>O28/1</f>
        <v>1</v>
      </c>
      <c r="P30" s="105">
        <f>P28/1</f>
        <v>1</v>
      </c>
      <c r="Q30" s="105">
        <f>Q28/3</f>
        <v>1</v>
      </c>
      <c r="R30" s="76"/>
    </row>
    <row r="31" spans="1:18" x14ac:dyDescent="0.3">
      <c r="B31" s="79"/>
      <c r="C31" s="108" t="s">
        <v>97</v>
      </c>
      <c r="D31" s="152">
        <f>17/25*100</f>
        <v>68</v>
      </c>
      <c r="E31" s="76"/>
      <c r="F31" s="76"/>
      <c r="G31" s="76"/>
      <c r="H31" s="76"/>
      <c r="I31" s="76"/>
      <c r="J31" s="76"/>
      <c r="K31" s="75"/>
      <c r="L31" s="75"/>
      <c r="M31" s="76"/>
      <c r="N31" s="76"/>
      <c r="O31" s="76"/>
      <c r="P31" s="76"/>
      <c r="Q31" s="76"/>
    </row>
    <row r="32" spans="1:18" x14ac:dyDescent="0.3">
      <c r="B32" s="79"/>
      <c r="C32" s="76"/>
      <c r="D32" s="76"/>
      <c r="E32" s="76"/>
      <c r="F32" s="76"/>
      <c r="G32" s="76"/>
      <c r="H32" s="76"/>
      <c r="I32" s="76"/>
      <c r="J32" s="76"/>
      <c r="K32" s="75"/>
      <c r="L32" s="75"/>
      <c r="M32" s="76"/>
      <c r="N32" s="76"/>
      <c r="O32" s="76"/>
      <c r="P32" s="76"/>
      <c r="Q32" s="76"/>
    </row>
    <row r="33" spans="2:21" x14ac:dyDescent="0.3">
      <c r="B33" s="79"/>
      <c r="C33" s="76"/>
      <c r="D33" s="76"/>
      <c r="E33" s="76"/>
      <c r="F33" s="76"/>
      <c r="G33" s="76"/>
      <c r="H33" s="76"/>
      <c r="I33" s="76"/>
      <c r="J33" s="76"/>
      <c r="K33" s="75"/>
      <c r="L33" s="75"/>
      <c r="M33" s="76"/>
      <c r="N33" s="76"/>
      <c r="O33" s="76"/>
      <c r="P33" s="76"/>
      <c r="Q33" s="76"/>
    </row>
    <row r="34" spans="2:21" x14ac:dyDescent="0.3">
      <c r="B34" s="79"/>
      <c r="C34" s="76"/>
      <c r="D34" s="76"/>
      <c r="E34" s="76"/>
      <c r="F34" s="76"/>
      <c r="G34" s="76"/>
      <c r="H34" s="76"/>
      <c r="I34" s="76"/>
      <c r="J34" s="76"/>
      <c r="K34" s="75"/>
      <c r="L34" s="75"/>
      <c r="M34" s="76"/>
      <c r="N34" s="76"/>
      <c r="O34" s="76"/>
      <c r="P34" s="76"/>
      <c r="Q34" s="76"/>
    </row>
    <row r="35" spans="2:21" x14ac:dyDescent="0.3">
      <c r="B35" s="76"/>
      <c r="C35" s="76"/>
      <c r="D35" s="76"/>
      <c r="E35" s="76"/>
      <c r="F35" s="76"/>
      <c r="G35" s="76"/>
      <c r="H35" s="76"/>
      <c r="I35" s="76"/>
      <c r="J35" s="76"/>
      <c r="K35" s="75"/>
      <c r="L35" s="75"/>
      <c r="M35" s="76"/>
      <c r="N35" s="76"/>
      <c r="O35" s="76"/>
      <c r="P35" s="76"/>
      <c r="Q35" s="76"/>
      <c r="R35" s="76"/>
    </row>
    <row r="42" spans="2:21" x14ac:dyDescent="0.3">
      <c r="U42" s="78" t="s">
        <v>20</v>
      </c>
    </row>
  </sheetData>
  <mergeCells count="3">
    <mergeCell ref="D1:F1"/>
    <mergeCell ref="G1:J1"/>
    <mergeCell ref="K1:P1"/>
  </mergeCells>
  <pageMargins left="0.7" right="0.7" top="0.75" bottom="0.75" header="0.3" footer="0.3"/>
  <pageSetup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59999389629810485"/>
  </sheetPr>
  <dimension ref="A1:V42"/>
  <sheetViews>
    <sheetView zoomScaleNormal="100" workbookViewId="0">
      <selection activeCell="D3" sqref="D3:D27"/>
    </sheetView>
  </sheetViews>
  <sheetFormatPr defaultColWidth="8.765625" defaultRowHeight="11.6" x14ac:dyDescent="0.3"/>
  <cols>
    <col min="1" max="1" width="8.765625" style="78"/>
    <col min="2" max="2" width="4" style="78" customWidth="1"/>
    <col min="3" max="3" width="21.3046875" style="78" customWidth="1"/>
    <col min="4" max="4" width="4" style="78" customWidth="1"/>
    <col min="5" max="5" width="3.69140625" style="78" customWidth="1"/>
    <col min="6" max="6" width="4.4609375" style="78" customWidth="1"/>
    <col min="7" max="7" width="3.4609375" style="78" customWidth="1"/>
    <col min="8" max="8" width="4.3046875" style="78" customWidth="1"/>
    <col min="9" max="9" width="3.3046875" style="78" customWidth="1"/>
    <col min="10" max="10" width="3.4609375" style="78" customWidth="1"/>
    <col min="11" max="11" width="3.3046875" style="78" customWidth="1"/>
    <col min="12" max="12" width="3.4609375" style="78" customWidth="1"/>
    <col min="13" max="13" width="3.3046875" style="78" customWidth="1"/>
    <col min="14" max="14" width="3.07421875" style="78" customWidth="1"/>
    <col min="15" max="18" width="3.69140625" style="78" customWidth="1"/>
    <col min="19" max="19" width="5" style="78" customWidth="1"/>
    <col min="20" max="16384" width="8.765625" style="78"/>
  </cols>
  <sheetData>
    <row r="1" spans="1:22" ht="12.45" x14ac:dyDescent="0.3">
      <c r="B1" s="76"/>
      <c r="C1" s="76"/>
      <c r="D1" s="279" t="s">
        <v>67</v>
      </c>
      <c r="E1" s="280"/>
      <c r="F1" s="281"/>
      <c r="G1" s="279" t="s">
        <v>68</v>
      </c>
      <c r="H1" s="282"/>
      <c r="I1" s="282"/>
      <c r="J1" s="282"/>
      <c r="K1" s="282"/>
      <c r="L1" s="279" t="s">
        <v>66</v>
      </c>
      <c r="M1" s="283"/>
      <c r="N1" s="283"/>
      <c r="O1" s="283"/>
      <c r="P1" s="284"/>
      <c r="Q1" s="284"/>
      <c r="R1" s="285"/>
      <c r="S1" s="77"/>
    </row>
    <row r="2" spans="1:22" ht="117.45" customHeight="1" x14ac:dyDescent="0.3">
      <c r="A2" s="78" t="s">
        <v>101</v>
      </c>
      <c r="B2" s="58" t="s">
        <v>0</v>
      </c>
      <c r="C2" s="58" t="s">
        <v>25</v>
      </c>
      <c r="D2" s="59" t="s">
        <v>5</v>
      </c>
      <c r="E2" s="59" t="s">
        <v>6</v>
      </c>
      <c r="F2" s="59" t="s">
        <v>1</v>
      </c>
      <c r="G2" s="59" t="s">
        <v>7</v>
      </c>
      <c r="H2" s="59" t="s">
        <v>4</v>
      </c>
      <c r="I2" s="59" t="s">
        <v>3</v>
      </c>
      <c r="J2" s="60" t="s">
        <v>2</v>
      </c>
      <c r="K2" s="59" t="s">
        <v>59</v>
      </c>
      <c r="L2" s="60" t="s">
        <v>18</v>
      </c>
      <c r="M2" s="60" t="s">
        <v>62</v>
      </c>
      <c r="N2" s="59" t="s">
        <v>64</v>
      </c>
      <c r="O2" s="59" t="s">
        <v>72</v>
      </c>
      <c r="P2" s="59" t="s">
        <v>86</v>
      </c>
      <c r="Q2" s="59" t="s">
        <v>88</v>
      </c>
      <c r="R2" s="59" t="s">
        <v>90</v>
      </c>
      <c r="S2" s="59" t="s">
        <v>13</v>
      </c>
    </row>
    <row r="3" spans="1:22" x14ac:dyDescent="0.3">
      <c r="A3" s="78" t="s">
        <v>99</v>
      </c>
      <c r="B3" s="62">
        <v>30</v>
      </c>
      <c r="C3" s="62" t="s">
        <v>89</v>
      </c>
      <c r="D3" s="62">
        <v>1</v>
      </c>
      <c r="E3" s="62">
        <v>0</v>
      </c>
      <c r="F3" s="62">
        <v>38</v>
      </c>
      <c r="G3" s="62">
        <v>0</v>
      </c>
      <c r="H3" s="62">
        <v>0</v>
      </c>
      <c r="I3" s="62">
        <v>0</v>
      </c>
      <c r="J3" s="62">
        <v>0</v>
      </c>
      <c r="K3" s="62">
        <v>0</v>
      </c>
      <c r="L3" s="62">
        <v>1</v>
      </c>
      <c r="M3" s="62">
        <v>1</v>
      </c>
      <c r="N3" s="62">
        <v>0</v>
      </c>
      <c r="O3" s="62">
        <v>0</v>
      </c>
      <c r="P3" s="62">
        <v>0</v>
      </c>
      <c r="Q3" s="64">
        <v>0</v>
      </c>
      <c r="R3" s="64">
        <v>0</v>
      </c>
      <c r="S3" s="64" t="s">
        <v>14</v>
      </c>
      <c r="U3" s="78" t="s">
        <v>99</v>
      </c>
      <c r="V3" s="62">
        <v>30</v>
      </c>
    </row>
    <row r="4" spans="1:22" x14ac:dyDescent="0.3">
      <c r="A4" s="78" t="s">
        <v>99</v>
      </c>
      <c r="B4" s="62">
        <v>38</v>
      </c>
      <c r="C4" s="62" t="s">
        <v>43</v>
      </c>
      <c r="D4" s="62">
        <v>1</v>
      </c>
      <c r="E4" s="62">
        <v>0</v>
      </c>
      <c r="F4" s="62">
        <v>1</v>
      </c>
      <c r="G4" s="62">
        <v>0</v>
      </c>
      <c r="H4" s="62">
        <v>5</v>
      </c>
      <c r="I4" s="62">
        <v>0</v>
      </c>
      <c r="J4" s="62">
        <v>0</v>
      </c>
      <c r="K4" s="62">
        <v>0</v>
      </c>
      <c r="L4" s="62">
        <v>0</v>
      </c>
      <c r="M4" s="62">
        <v>0</v>
      </c>
      <c r="N4" s="62">
        <v>0</v>
      </c>
      <c r="O4" s="62">
        <v>0</v>
      </c>
      <c r="P4" s="62">
        <v>0</v>
      </c>
      <c r="Q4" s="64">
        <v>0</v>
      </c>
      <c r="R4" s="64">
        <v>0</v>
      </c>
      <c r="S4" s="64" t="s">
        <v>14</v>
      </c>
      <c r="U4" s="78" t="s">
        <v>99</v>
      </c>
      <c r="V4" s="62">
        <v>38</v>
      </c>
    </row>
    <row r="5" spans="1:22" x14ac:dyDescent="0.3">
      <c r="A5" s="78" t="s">
        <v>99</v>
      </c>
      <c r="B5" s="62">
        <v>58</v>
      </c>
      <c r="C5" s="62" t="s">
        <v>44</v>
      </c>
      <c r="D5" s="62">
        <v>1</v>
      </c>
      <c r="E5" s="62">
        <v>0</v>
      </c>
      <c r="F5" s="62">
        <v>0</v>
      </c>
      <c r="G5" s="62">
        <v>0</v>
      </c>
      <c r="H5" s="62">
        <v>5</v>
      </c>
      <c r="I5" s="62">
        <v>0</v>
      </c>
      <c r="J5" s="62">
        <v>0</v>
      </c>
      <c r="K5" s="62">
        <v>0</v>
      </c>
      <c r="L5" s="62">
        <v>4</v>
      </c>
      <c r="M5" s="62">
        <v>1</v>
      </c>
      <c r="N5" s="62">
        <v>0</v>
      </c>
      <c r="O5" s="62">
        <v>0</v>
      </c>
      <c r="P5" s="62">
        <v>1</v>
      </c>
      <c r="Q5" s="64">
        <v>0</v>
      </c>
      <c r="R5" s="64">
        <v>0</v>
      </c>
      <c r="S5" s="64" t="s">
        <v>14</v>
      </c>
      <c r="U5" s="78" t="s">
        <v>99</v>
      </c>
      <c r="V5" s="62">
        <v>58</v>
      </c>
    </row>
    <row r="6" spans="1:22" x14ac:dyDescent="0.3">
      <c r="A6" s="78" t="s">
        <v>99</v>
      </c>
      <c r="B6" s="62">
        <v>61</v>
      </c>
      <c r="C6" s="62" t="s">
        <v>45</v>
      </c>
      <c r="D6" s="62">
        <v>1</v>
      </c>
      <c r="E6" s="62">
        <v>0</v>
      </c>
      <c r="F6" s="62">
        <v>4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1</v>
      </c>
      <c r="M6" s="62">
        <v>0</v>
      </c>
      <c r="N6" s="62">
        <v>0</v>
      </c>
      <c r="O6" s="62">
        <v>1</v>
      </c>
      <c r="P6" s="62">
        <v>0</v>
      </c>
      <c r="Q6" s="64">
        <v>0</v>
      </c>
      <c r="R6" s="64">
        <v>0</v>
      </c>
      <c r="S6" s="64" t="s">
        <v>14</v>
      </c>
      <c r="U6" s="78" t="s">
        <v>99</v>
      </c>
      <c r="V6" s="62">
        <v>61</v>
      </c>
    </row>
    <row r="7" spans="1:22" x14ac:dyDescent="0.3">
      <c r="A7" s="78" t="s">
        <v>99</v>
      </c>
      <c r="B7" s="62">
        <v>62</v>
      </c>
      <c r="C7" s="62" t="s">
        <v>46</v>
      </c>
      <c r="D7" s="62">
        <v>4</v>
      </c>
      <c r="E7" s="62">
        <v>0</v>
      </c>
      <c r="F7" s="62">
        <v>0</v>
      </c>
      <c r="G7" s="62">
        <v>0</v>
      </c>
      <c r="H7" s="62">
        <v>23</v>
      </c>
      <c r="I7" s="62">
        <v>0</v>
      </c>
      <c r="J7" s="62">
        <v>0</v>
      </c>
      <c r="K7" s="62">
        <v>0</v>
      </c>
      <c r="L7" s="62">
        <v>2</v>
      </c>
      <c r="M7" s="62">
        <v>0</v>
      </c>
      <c r="N7" s="62">
        <v>0</v>
      </c>
      <c r="O7" s="62">
        <v>0</v>
      </c>
      <c r="P7" s="62">
        <v>0</v>
      </c>
      <c r="Q7" s="64">
        <v>0</v>
      </c>
      <c r="R7" s="64">
        <v>0</v>
      </c>
      <c r="S7" s="64" t="s">
        <v>14</v>
      </c>
      <c r="U7" s="78" t="s">
        <v>99</v>
      </c>
      <c r="V7" s="62">
        <v>62</v>
      </c>
    </row>
    <row r="8" spans="1:22" x14ac:dyDescent="0.3">
      <c r="A8" s="78" t="s">
        <v>99</v>
      </c>
      <c r="B8" s="62">
        <v>65</v>
      </c>
      <c r="C8" s="62" t="s">
        <v>47</v>
      </c>
      <c r="D8" s="62">
        <v>1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2</v>
      </c>
      <c r="N8" s="62">
        <v>0</v>
      </c>
      <c r="O8" s="62">
        <v>0</v>
      </c>
      <c r="P8" s="62">
        <v>0</v>
      </c>
      <c r="Q8" s="64">
        <v>0</v>
      </c>
      <c r="R8" s="64">
        <v>0</v>
      </c>
      <c r="S8" s="64" t="s">
        <v>14</v>
      </c>
      <c r="U8" s="78" t="s">
        <v>99</v>
      </c>
      <c r="V8" s="62">
        <v>65</v>
      </c>
    </row>
    <row r="9" spans="1:22" x14ac:dyDescent="0.3">
      <c r="A9" s="78" t="s">
        <v>100</v>
      </c>
      <c r="B9" s="62">
        <v>66</v>
      </c>
      <c r="C9" s="62" t="s">
        <v>52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1</v>
      </c>
      <c r="P9" s="62">
        <v>0</v>
      </c>
      <c r="Q9" s="64">
        <v>0</v>
      </c>
      <c r="R9" s="64">
        <v>0</v>
      </c>
      <c r="S9" s="64" t="s">
        <v>14</v>
      </c>
      <c r="U9" s="78" t="s">
        <v>99</v>
      </c>
      <c r="V9" s="62">
        <v>70</v>
      </c>
    </row>
    <row r="10" spans="1:22" x14ac:dyDescent="0.3">
      <c r="A10" s="78" t="s">
        <v>100</v>
      </c>
      <c r="B10" s="62">
        <v>69</v>
      </c>
      <c r="C10" s="62" t="s">
        <v>33</v>
      </c>
      <c r="D10" s="62">
        <v>0</v>
      </c>
      <c r="E10" s="62">
        <v>1</v>
      </c>
      <c r="F10" s="62">
        <v>6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4">
        <v>0</v>
      </c>
      <c r="R10" s="64">
        <v>0</v>
      </c>
      <c r="S10" s="64" t="s">
        <v>14</v>
      </c>
      <c r="U10" s="78" t="s">
        <v>99</v>
      </c>
      <c r="V10" s="62">
        <v>71</v>
      </c>
    </row>
    <row r="11" spans="1:22" x14ac:dyDescent="0.3">
      <c r="A11" s="78" t="s">
        <v>99</v>
      </c>
      <c r="B11" s="62">
        <v>70</v>
      </c>
      <c r="C11" s="62" t="s">
        <v>27</v>
      </c>
      <c r="D11" s="62">
        <v>1</v>
      </c>
      <c r="E11" s="62">
        <v>0</v>
      </c>
      <c r="F11" s="62">
        <v>2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1</v>
      </c>
      <c r="N11" s="62">
        <v>0</v>
      </c>
      <c r="O11" s="62">
        <v>0</v>
      </c>
      <c r="P11" s="62">
        <v>0</v>
      </c>
      <c r="Q11" s="64">
        <v>0</v>
      </c>
      <c r="R11" s="64">
        <v>0</v>
      </c>
      <c r="S11" s="64" t="s">
        <v>14</v>
      </c>
      <c r="U11" s="78" t="s">
        <v>99</v>
      </c>
      <c r="V11" s="62">
        <v>79</v>
      </c>
    </row>
    <row r="12" spans="1:22" x14ac:dyDescent="0.3">
      <c r="A12" s="78" t="s">
        <v>99</v>
      </c>
      <c r="B12" s="62">
        <v>71</v>
      </c>
      <c r="C12" s="62" t="s">
        <v>28</v>
      </c>
      <c r="D12" s="62">
        <v>1</v>
      </c>
      <c r="E12" s="62">
        <v>0</v>
      </c>
      <c r="F12" s="62">
        <v>38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1</v>
      </c>
      <c r="Q12" s="64">
        <v>0</v>
      </c>
      <c r="R12" s="64">
        <v>0</v>
      </c>
      <c r="S12" s="64" t="s">
        <v>14</v>
      </c>
      <c r="U12" s="78" t="s">
        <v>99</v>
      </c>
      <c r="V12" s="62">
        <v>80</v>
      </c>
    </row>
    <row r="13" spans="1:22" x14ac:dyDescent="0.3">
      <c r="A13" s="78" t="s">
        <v>100</v>
      </c>
      <c r="B13" s="62">
        <v>72</v>
      </c>
      <c r="C13" s="62" t="s">
        <v>34</v>
      </c>
      <c r="D13" s="62">
        <v>0</v>
      </c>
      <c r="E13" s="62">
        <v>0</v>
      </c>
      <c r="F13" s="62">
        <v>8</v>
      </c>
      <c r="G13" s="62">
        <v>0</v>
      </c>
      <c r="H13" s="62">
        <v>0</v>
      </c>
      <c r="I13" s="62">
        <v>1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4">
        <v>0</v>
      </c>
      <c r="R13" s="64">
        <v>0</v>
      </c>
      <c r="S13" s="64" t="s">
        <v>14</v>
      </c>
      <c r="U13" s="78" t="s">
        <v>99</v>
      </c>
      <c r="V13" s="62">
        <v>81</v>
      </c>
    </row>
    <row r="14" spans="1:22" x14ac:dyDescent="0.3">
      <c r="A14" s="78" t="s">
        <v>100</v>
      </c>
      <c r="B14" s="62">
        <v>73</v>
      </c>
      <c r="C14" s="62" t="s">
        <v>50</v>
      </c>
      <c r="D14" s="62">
        <v>0</v>
      </c>
      <c r="E14" s="62">
        <v>0</v>
      </c>
      <c r="F14" s="62">
        <v>1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1</v>
      </c>
      <c r="N14" s="62">
        <v>0</v>
      </c>
      <c r="O14" s="62">
        <v>0</v>
      </c>
      <c r="P14" s="62">
        <v>0</v>
      </c>
      <c r="Q14" s="64">
        <v>0</v>
      </c>
      <c r="R14" s="64">
        <v>0</v>
      </c>
      <c r="S14" s="67" t="s">
        <v>14</v>
      </c>
      <c r="U14" s="78" t="s">
        <v>99</v>
      </c>
      <c r="V14" s="62">
        <v>82</v>
      </c>
    </row>
    <row r="15" spans="1:22" x14ac:dyDescent="0.3">
      <c r="A15" s="78" t="s">
        <v>100</v>
      </c>
      <c r="B15" s="62">
        <v>74</v>
      </c>
      <c r="C15" s="62" t="s">
        <v>37</v>
      </c>
      <c r="D15" s="62">
        <v>1</v>
      </c>
      <c r="E15" s="62">
        <v>0</v>
      </c>
      <c r="F15" s="62">
        <v>58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4">
        <v>0</v>
      </c>
      <c r="R15" s="64">
        <v>0</v>
      </c>
      <c r="S15" s="149" t="s">
        <v>15</v>
      </c>
    </row>
    <row r="16" spans="1:22" x14ac:dyDescent="0.3">
      <c r="A16" s="78" t="s">
        <v>100</v>
      </c>
      <c r="B16" s="62">
        <v>75</v>
      </c>
      <c r="C16" s="62" t="s">
        <v>38</v>
      </c>
      <c r="D16" s="62">
        <v>0</v>
      </c>
      <c r="E16" s="62">
        <v>0</v>
      </c>
      <c r="F16" s="62">
        <v>6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4">
        <v>1</v>
      </c>
      <c r="R16" s="64">
        <v>0</v>
      </c>
      <c r="S16" s="67" t="s">
        <v>14</v>
      </c>
    </row>
    <row r="17" spans="1:19" x14ac:dyDescent="0.3">
      <c r="A17" s="78" t="s">
        <v>100</v>
      </c>
      <c r="B17" s="62">
        <v>76</v>
      </c>
      <c r="C17" s="62" t="s">
        <v>39</v>
      </c>
      <c r="D17" s="62">
        <v>1</v>
      </c>
      <c r="E17" s="62">
        <v>0</v>
      </c>
      <c r="F17" s="62">
        <v>6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1</v>
      </c>
      <c r="P17" s="62">
        <v>0</v>
      </c>
      <c r="Q17" s="64">
        <v>0</v>
      </c>
      <c r="R17" s="64">
        <v>0</v>
      </c>
      <c r="S17" s="67" t="s">
        <v>14</v>
      </c>
    </row>
    <row r="18" spans="1:19" x14ac:dyDescent="0.3">
      <c r="A18" s="78" t="s">
        <v>100</v>
      </c>
      <c r="B18" s="62">
        <v>78</v>
      </c>
      <c r="C18" s="62" t="s">
        <v>40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4">
        <v>0</v>
      </c>
      <c r="R18" s="64">
        <v>0</v>
      </c>
      <c r="S18" s="67" t="s">
        <v>14</v>
      </c>
    </row>
    <row r="19" spans="1:19" x14ac:dyDescent="0.3">
      <c r="A19" s="78" t="s">
        <v>99</v>
      </c>
      <c r="B19" s="62">
        <v>79</v>
      </c>
      <c r="C19" s="62" t="s">
        <v>29</v>
      </c>
      <c r="D19" s="62">
        <v>1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1</v>
      </c>
      <c r="O19" s="62">
        <v>0</v>
      </c>
      <c r="P19" s="62">
        <v>0</v>
      </c>
      <c r="Q19" s="64">
        <v>0</v>
      </c>
      <c r="R19" s="64">
        <v>1</v>
      </c>
      <c r="S19" s="64" t="s">
        <v>14</v>
      </c>
    </row>
    <row r="20" spans="1:19" x14ac:dyDescent="0.3">
      <c r="A20" s="78" t="s">
        <v>99</v>
      </c>
      <c r="B20" s="62">
        <v>80</v>
      </c>
      <c r="C20" s="62" t="s">
        <v>30</v>
      </c>
      <c r="D20" s="62">
        <v>2</v>
      </c>
      <c r="E20" s="62">
        <v>0</v>
      </c>
      <c r="F20" s="62">
        <v>1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1</v>
      </c>
      <c r="N20" s="62">
        <v>0</v>
      </c>
      <c r="O20" s="62">
        <v>0</v>
      </c>
      <c r="P20" s="62">
        <v>1</v>
      </c>
      <c r="Q20" s="64">
        <v>0</v>
      </c>
      <c r="R20" s="64">
        <v>0</v>
      </c>
      <c r="S20" s="64" t="s">
        <v>14</v>
      </c>
    </row>
    <row r="21" spans="1:19" x14ac:dyDescent="0.3">
      <c r="A21" s="78" t="s">
        <v>99</v>
      </c>
      <c r="B21" s="62">
        <v>81</v>
      </c>
      <c r="C21" s="62" t="s">
        <v>31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4">
        <v>0</v>
      </c>
      <c r="R21" s="64">
        <v>0</v>
      </c>
      <c r="S21" s="64" t="s">
        <v>14</v>
      </c>
    </row>
    <row r="22" spans="1:19" x14ac:dyDescent="0.3">
      <c r="A22" s="78" t="s">
        <v>99</v>
      </c>
      <c r="B22" s="62">
        <v>82</v>
      </c>
      <c r="C22" s="62" t="s">
        <v>32</v>
      </c>
      <c r="D22" s="62">
        <v>0</v>
      </c>
      <c r="E22" s="62">
        <v>0</v>
      </c>
      <c r="F22" s="62">
        <v>0</v>
      </c>
      <c r="G22" s="62">
        <v>1</v>
      </c>
      <c r="H22" s="62">
        <v>0</v>
      </c>
      <c r="I22" s="62">
        <v>0</v>
      </c>
      <c r="J22" s="62">
        <v>0</v>
      </c>
      <c r="K22" s="62">
        <v>0</v>
      </c>
      <c r="L22" s="62">
        <v>12</v>
      </c>
      <c r="M22" s="62">
        <v>0</v>
      </c>
      <c r="N22" s="62">
        <v>0</v>
      </c>
      <c r="O22" s="62">
        <v>1</v>
      </c>
      <c r="P22" s="62">
        <v>0</v>
      </c>
      <c r="Q22" s="64">
        <v>0</v>
      </c>
      <c r="R22" s="64">
        <v>0</v>
      </c>
      <c r="S22" s="64" t="s">
        <v>14</v>
      </c>
    </row>
    <row r="23" spans="1:19" x14ac:dyDescent="0.3">
      <c r="A23" s="78" t="s">
        <v>100</v>
      </c>
      <c r="B23" s="62">
        <v>83</v>
      </c>
      <c r="C23" s="62" t="s">
        <v>26</v>
      </c>
      <c r="D23" s="62">
        <v>0</v>
      </c>
      <c r="E23" s="62">
        <v>0</v>
      </c>
      <c r="F23" s="62">
        <v>2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5">
        <v>0</v>
      </c>
      <c r="Q23" s="67">
        <v>0</v>
      </c>
      <c r="R23" s="64">
        <v>0</v>
      </c>
      <c r="S23" s="67" t="s">
        <v>14</v>
      </c>
    </row>
    <row r="24" spans="1:19" x14ac:dyDescent="0.3">
      <c r="A24" s="78" t="s">
        <v>100</v>
      </c>
      <c r="B24" s="62">
        <v>84</v>
      </c>
      <c r="C24" s="62" t="s">
        <v>41</v>
      </c>
      <c r="D24" s="62">
        <v>0</v>
      </c>
      <c r="E24" s="62">
        <v>0</v>
      </c>
      <c r="F24" s="62">
        <v>205</v>
      </c>
      <c r="G24" s="62">
        <v>0</v>
      </c>
      <c r="H24" s="62">
        <v>0</v>
      </c>
      <c r="I24" s="62">
        <v>0</v>
      </c>
      <c r="J24" s="62">
        <v>0</v>
      </c>
      <c r="K24" s="62">
        <v>1</v>
      </c>
      <c r="L24" s="62">
        <v>1</v>
      </c>
      <c r="M24" s="62">
        <v>0</v>
      </c>
      <c r="N24" s="62">
        <v>0</v>
      </c>
      <c r="O24" s="62">
        <v>0</v>
      </c>
      <c r="P24" s="62">
        <v>1</v>
      </c>
      <c r="Q24" s="64">
        <v>0</v>
      </c>
      <c r="R24" s="64">
        <v>0</v>
      </c>
      <c r="S24" s="149" t="s">
        <v>15</v>
      </c>
    </row>
    <row r="25" spans="1:19" x14ac:dyDescent="0.3">
      <c r="A25" s="78" t="s">
        <v>100</v>
      </c>
      <c r="B25" s="62">
        <v>85</v>
      </c>
      <c r="C25" s="62" t="s">
        <v>48</v>
      </c>
      <c r="D25" s="62">
        <v>6</v>
      </c>
      <c r="E25" s="62">
        <v>0</v>
      </c>
      <c r="F25" s="62">
        <v>10</v>
      </c>
      <c r="G25" s="62">
        <v>0</v>
      </c>
      <c r="H25" s="62">
        <v>0</v>
      </c>
      <c r="I25" s="62">
        <v>0</v>
      </c>
      <c r="J25" s="62">
        <v>0</v>
      </c>
      <c r="K25" s="62">
        <v>1</v>
      </c>
      <c r="L25" s="62">
        <v>0</v>
      </c>
      <c r="M25" s="62">
        <v>0</v>
      </c>
      <c r="N25" s="62">
        <v>0</v>
      </c>
      <c r="O25" s="62">
        <v>0</v>
      </c>
      <c r="P25" s="62">
        <v>1</v>
      </c>
      <c r="Q25" s="64">
        <v>0</v>
      </c>
      <c r="R25" s="64">
        <v>0</v>
      </c>
      <c r="S25" s="67" t="s">
        <v>14</v>
      </c>
    </row>
    <row r="26" spans="1:19" x14ac:dyDescent="0.3">
      <c r="A26" s="78" t="s">
        <v>100</v>
      </c>
      <c r="B26" s="62">
        <v>86</v>
      </c>
      <c r="C26" s="62" t="s">
        <v>35</v>
      </c>
      <c r="D26" s="62">
        <v>1</v>
      </c>
      <c r="E26" s="62">
        <v>1</v>
      </c>
      <c r="F26" s="62">
        <v>123</v>
      </c>
      <c r="G26" s="62">
        <v>1</v>
      </c>
      <c r="H26" s="62">
        <v>0</v>
      </c>
      <c r="I26" s="62">
        <v>0</v>
      </c>
      <c r="J26" s="62">
        <v>0</v>
      </c>
      <c r="K26" s="62">
        <v>0</v>
      </c>
      <c r="L26" s="62">
        <v>4</v>
      </c>
      <c r="M26" s="62">
        <v>0</v>
      </c>
      <c r="N26" s="62">
        <v>0</v>
      </c>
      <c r="O26" s="62">
        <v>1</v>
      </c>
      <c r="P26" s="65">
        <v>1</v>
      </c>
      <c r="Q26" s="64">
        <v>0</v>
      </c>
      <c r="R26" s="64">
        <v>0</v>
      </c>
      <c r="S26" s="149" t="s">
        <v>15</v>
      </c>
    </row>
    <row r="27" spans="1:19" x14ac:dyDescent="0.3">
      <c r="A27" s="78" t="s">
        <v>100</v>
      </c>
      <c r="B27" s="62">
        <v>87</v>
      </c>
      <c r="C27" s="62" t="s">
        <v>36</v>
      </c>
      <c r="D27" s="62">
        <v>1</v>
      </c>
      <c r="E27" s="65">
        <v>0</v>
      </c>
      <c r="F27" s="62">
        <v>1</v>
      </c>
      <c r="G27" s="62">
        <v>1</v>
      </c>
      <c r="H27" s="62">
        <v>0</v>
      </c>
      <c r="I27" s="62">
        <v>0</v>
      </c>
      <c r="J27" s="62">
        <v>1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1</v>
      </c>
      <c r="Q27" s="64">
        <v>0</v>
      </c>
      <c r="R27" s="64">
        <v>0</v>
      </c>
      <c r="S27" s="67" t="s">
        <v>14</v>
      </c>
    </row>
    <row r="28" spans="1:19" x14ac:dyDescent="0.3">
      <c r="B28" s="68" t="s">
        <v>20</v>
      </c>
      <c r="C28" s="68" t="s">
        <v>9</v>
      </c>
      <c r="D28" s="68">
        <f t="shared" ref="D28:R28" si="0">SUM(D3:D27)</f>
        <v>24</v>
      </c>
      <c r="E28" s="68">
        <f t="shared" si="0"/>
        <v>2</v>
      </c>
      <c r="F28" s="68">
        <f t="shared" si="0"/>
        <v>510</v>
      </c>
      <c r="G28" s="68">
        <f t="shared" si="0"/>
        <v>3</v>
      </c>
      <c r="H28" s="68">
        <f t="shared" si="0"/>
        <v>33</v>
      </c>
      <c r="I28" s="68">
        <f t="shared" si="0"/>
        <v>1</v>
      </c>
      <c r="J28" s="68">
        <f t="shared" si="0"/>
        <v>1</v>
      </c>
      <c r="K28" s="68">
        <f t="shared" si="0"/>
        <v>2</v>
      </c>
      <c r="L28" s="68">
        <f t="shared" si="0"/>
        <v>25</v>
      </c>
      <c r="M28" s="68">
        <f t="shared" si="0"/>
        <v>7</v>
      </c>
      <c r="N28" s="68">
        <f t="shared" si="0"/>
        <v>1</v>
      </c>
      <c r="O28" s="68">
        <f t="shared" si="0"/>
        <v>5</v>
      </c>
      <c r="P28" s="68">
        <f t="shared" si="0"/>
        <v>7</v>
      </c>
      <c r="Q28" s="68">
        <f t="shared" si="0"/>
        <v>1</v>
      </c>
      <c r="R28" s="68">
        <f t="shared" si="0"/>
        <v>1</v>
      </c>
      <c r="S28" s="147"/>
    </row>
    <row r="29" spans="1:19" x14ac:dyDescent="0.3">
      <c r="B29" s="72" t="s">
        <v>20</v>
      </c>
      <c r="C29" s="73" t="s">
        <v>70</v>
      </c>
      <c r="D29" s="105">
        <f>D28/25</f>
        <v>0.96</v>
      </c>
      <c r="E29" s="105">
        <f t="shared" ref="E29:P29" si="1">E28/25</f>
        <v>0.08</v>
      </c>
      <c r="F29" s="105">
        <f t="shared" si="1"/>
        <v>20.399999999999999</v>
      </c>
      <c r="G29" s="105">
        <f t="shared" si="1"/>
        <v>0.12</v>
      </c>
      <c r="H29" s="105">
        <f t="shared" si="1"/>
        <v>1.32</v>
      </c>
      <c r="I29" s="105">
        <f t="shared" si="1"/>
        <v>0.04</v>
      </c>
      <c r="J29" s="105">
        <f t="shared" si="1"/>
        <v>0.04</v>
      </c>
      <c r="K29" s="105">
        <f t="shared" si="1"/>
        <v>0.08</v>
      </c>
      <c r="L29" s="105">
        <f t="shared" si="1"/>
        <v>1</v>
      </c>
      <c r="M29" s="105">
        <f t="shared" si="1"/>
        <v>0.28000000000000003</v>
      </c>
      <c r="N29" s="105">
        <f t="shared" si="1"/>
        <v>0.04</v>
      </c>
      <c r="O29" s="105">
        <f t="shared" si="1"/>
        <v>0.2</v>
      </c>
      <c r="P29" s="105">
        <f t="shared" si="1"/>
        <v>0.28000000000000003</v>
      </c>
      <c r="Q29" s="105">
        <f>Q28/25</f>
        <v>0.04</v>
      </c>
      <c r="R29" s="105">
        <f>R28/25</f>
        <v>0.04</v>
      </c>
      <c r="S29" s="148"/>
    </row>
    <row r="30" spans="1:19" ht="18" customHeight="1" x14ac:dyDescent="0.3">
      <c r="B30" s="76"/>
      <c r="C30" s="108" t="s">
        <v>73</v>
      </c>
      <c r="D30" s="105">
        <f>D28/15</f>
        <v>1.6</v>
      </c>
      <c r="E30" s="105">
        <f>E28/2</f>
        <v>1</v>
      </c>
      <c r="F30" s="105">
        <f>F28/17</f>
        <v>30</v>
      </c>
      <c r="G30" s="105">
        <f>G28/3</f>
        <v>1</v>
      </c>
      <c r="H30" s="105">
        <f>H28/3</f>
        <v>11</v>
      </c>
      <c r="I30" s="105">
        <f>I28/1</f>
        <v>1</v>
      </c>
      <c r="J30" s="105">
        <f>J28/1</f>
        <v>1</v>
      </c>
      <c r="K30" s="105">
        <f>K28/2</f>
        <v>1</v>
      </c>
      <c r="L30" s="105">
        <f>L28/7</f>
        <v>3.5714285714285716</v>
      </c>
      <c r="M30" s="105">
        <f>M28/6</f>
        <v>1.1666666666666667</v>
      </c>
      <c r="N30" s="105">
        <f>N28/1</f>
        <v>1</v>
      </c>
      <c r="O30" s="105">
        <f>O28/5</f>
        <v>1</v>
      </c>
      <c r="P30" s="105">
        <f>P28/7</f>
        <v>1</v>
      </c>
      <c r="Q30" s="105">
        <f>Q28/1</f>
        <v>1</v>
      </c>
      <c r="R30" s="105">
        <f>R28/1</f>
        <v>1</v>
      </c>
      <c r="S30" s="76"/>
    </row>
    <row r="31" spans="1:19" x14ac:dyDescent="0.3">
      <c r="B31" s="79"/>
      <c r="C31" s="108" t="s">
        <v>97</v>
      </c>
      <c r="D31" s="152">
        <f>14/25*100</f>
        <v>56.000000000000007</v>
      </c>
      <c r="E31" s="76"/>
      <c r="F31" s="76"/>
      <c r="G31" s="76"/>
      <c r="H31" s="76"/>
      <c r="I31" s="76"/>
      <c r="J31" s="76"/>
      <c r="K31" s="76"/>
      <c r="L31" s="75"/>
      <c r="M31" s="75"/>
      <c r="N31" s="76"/>
      <c r="O31" s="76"/>
      <c r="P31" s="76"/>
      <c r="Q31" s="76"/>
      <c r="R31" s="76"/>
    </row>
    <row r="32" spans="1:19" x14ac:dyDescent="0.3">
      <c r="B32" s="79"/>
      <c r="C32" s="76"/>
      <c r="D32" s="76"/>
      <c r="E32" s="76"/>
      <c r="F32" s="76"/>
      <c r="G32" s="76"/>
      <c r="H32" s="76"/>
      <c r="I32" s="76"/>
      <c r="J32" s="76"/>
      <c r="K32" s="76"/>
      <c r="L32" s="75"/>
      <c r="M32" s="75"/>
      <c r="N32" s="76"/>
      <c r="O32" s="76"/>
      <c r="P32" s="76"/>
      <c r="Q32" s="76"/>
      <c r="R32" s="76"/>
    </row>
    <row r="33" spans="2:22" x14ac:dyDescent="0.3">
      <c r="B33" s="79"/>
      <c r="C33" s="76"/>
      <c r="D33" s="76"/>
      <c r="E33" s="76"/>
      <c r="F33" s="76"/>
      <c r="G33" s="76"/>
      <c r="H33" s="76"/>
      <c r="I33" s="76"/>
      <c r="J33" s="76"/>
      <c r="K33" s="76"/>
      <c r="L33" s="75"/>
      <c r="M33" s="75"/>
      <c r="N33" s="76"/>
      <c r="O33" s="76"/>
      <c r="P33" s="76"/>
      <c r="Q33" s="76"/>
      <c r="R33" s="76"/>
    </row>
    <row r="34" spans="2:22" x14ac:dyDescent="0.3">
      <c r="B34" s="79"/>
      <c r="C34" s="76"/>
      <c r="D34" s="76"/>
      <c r="E34" s="76"/>
      <c r="F34" s="76"/>
      <c r="G34" s="76"/>
      <c r="H34" s="76"/>
      <c r="I34" s="76"/>
      <c r="J34" s="76"/>
      <c r="K34" s="76"/>
      <c r="L34" s="75"/>
      <c r="M34" s="75"/>
      <c r="N34" s="76"/>
      <c r="O34" s="76"/>
      <c r="P34" s="76"/>
      <c r="Q34" s="76"/>
      <c r="R34" s="76"/>
    </row>
    <row r="35" spans="2:22" x14ac:dyDescent="0.3"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5"/>
      <c r="M35" s="75"/>
      <c r="N35" s="76"/>
      <c r="O35" s="76"/>
      <c r="P35" s="76"/>
      <c r="Q35" s="76"/>
      <c r="R35" s="76"/>
      <c r="S35" s="76"/>
    </row>
    <row r="42" spans="2:22" x14ac:dyDescent="0.3">
      <c r="V42" s="78" t="s">
        <v>20</v>
      </c>
    </row>
  </sheetData>
  <mergeCells count="3">
    <mergeCell ref="D1:F1"/>
    <mergeCell ref="G1:K1"/>
    <mergeCell ref="L1:R1"/>
  </mergeCells>
  <pageMargins left="0.7" right="0.7" top="0.75" bottom="0.75" header="0.3" footer="0.3"/>
  <pageSetup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59999389629810485"/>
  </sheetPr>
  <dimension ref="A1:T36"/>
  <sheetViews>
    <sheetView workbookViewId="0">
      <selection activeCell="D4" sqref="D4:D28"/>
    </sheetView>
  </sheetViews>
  <sheetFormatPr defaultColWidth="8.765625" defaultRowHeight="11.6" x14ac:dyDescent="0.3"/>
  <cols>
    <col min="1" max="1" width="8.765625" style="78"/>
    <col min="2" max="2" width="6.4609375" style="78" customWidth="1"/>
    <col min="3" max="3" width="17.07421875" style="78" customWidth="1"/>
    <col min="4" max="4" width="4" style="78" customWidth="1"/>
    <col min="5" max="5" width="3.69140625" style="78" customWidth="1"/>
    <col min="6" max="6" width="3.765625" style="78" customWidth="1"/>
    <col min="7" max="7" width="3.4609375" style="78" customWidth="1"/>
    <col min="8" max="8" width="3.69140625" style="78" customWidth="1"/>
    <col min="9" max="9" width="2.69140625" style="78" customWidth="1"/>
    <col min="10" max="10" width="3.4609375" style="78" customWidth="1"/>
    <col min="11" max="11" width="3.3046875" style="78" customWidth="1"/>
    <col min="12" max="12" width="3.765625" style="78" customWidth="1"/>
    <col min="13" max="13" width="3.4609375" style="78" customWidth="1"/>
    <col min="14" max="15" width="2.69140625" style="78" customWidth="1"/>
    <col min="16" max="16" width="3.4609375" style="78" customWidth="1"/>
    <col min="17" max="17" width="3.07421875" style="78" customWidth="1"/>
    <col min="18" max="19" width="3.69140625" style="78" customWidth="1"/>
    <col min="20" max="20" width="5" style="78" customWidth="1"/>
    <col min="21" max="16384" width="8.765625" style="78"/>
  </cols>
  <sheetData>
    <row r="1" spans="1:20" s="111" customFormat="1" ht="15.9" x14ac:dyDescent="0.35">
      <c r="B1" s="116" t="s">
        <v>80</v>
      </c>
    </row>
    <row r="2" spans="1:20" x14ac:dyDescent="0.3">
      <c r="B2" s="76"/>
      <c r="C2" s="76"/>
      <c r="D2" s="279" t="s">
        <v>67</v>
      </c>
      <c r="E2" s="280"/>
      <c r="F2" s="281"/>
      <c r="G2" s="279" t="s">
        <v>68</v>
      </c>
      <c r="H2" s="282"/>
      <c r="I2" s="282"/>
      <c r="J2" s="282"/>
      <c r="K2" s="282"/>
      <c r="L2" s="286"/>
      <c r="M2" s="279" t="s">
        <v>66</v>
      </c>
      <c r="N2" s="283"/>
      <c r="O2" s="283"/>
      <c r="P2" s="283"/>
      <c r="Q2" s="283"/>
      <c r="R2" s="287"/>
      <c r="S2" s="146"/>
      <c r="T2" s="77"/>
    </row>
    <row r="3" spans="1:20" ht="121.95" customHeight="1" x14ac:dyDescent="0.3">
      <c r="B3" s="58" t="s">
        <v>0</v>
      </c>
      <c r="C3" s="58" t="s">
        <v>25</v>
      </c>
      <c r="D3" s="59" t="s">
        <v>5</v>
      </c>
      <c r="E3" s="59" t="s">
        <v>6</v>
      </c>
      <c r="F3" s="59" t="s">
        <v>1</v>
      </c>
      <c r="G3" s="59" t="s">
        <v>7</v>
      </c>
      <c r="H3" s="59" t="s">
        <v>4</v>
      </c>
      <c r="I3" s="59" t="s">
        <v>3</v>
      </c>
      <c r="J3" s="60" t="s">
        <v>2</v>
      </c>
      <c r="K3" s="59" t="s">
        <v>59</v>
      </c>
      <c r="L3" s="60" t="s">
        <v>60</v>
      </c>
      <c r="M3" s="60" t="s">
        <v>18</v>
      </c>
      <c r="N3" s="60" t="s">
        <v>62</v>
      </c>
      <c r="O3" s="60" t="s">
        <v>12</v>
      </c>
      <c r="P3" s="61" t="s">
        <v>61</v>
      </c>
      <c r="Q3" s="59" t="s">
        <v>64</v>
      </c>
      <c r="R3" s="59" t="s">
        <v>72</v>
      </c>
      <c r="S3" s="59" t="s">
        <v>86</v>
      </c>
      <c r="T3" s="59" t="s">
        <v>13</v>
      </c>
    </row>
    <row r="4" spans="1:20" x14ac:dyDescent="0.3">
      <c r="A4" s="78" t="s">
        <v>100</v>
      </c>
      <c r="B4" s="62">
        <v>69</v>
      </c>
      <c r="C4" s="62" t="s">
        <v>33</v>
      </c>
      <c r="D4" s="62">
        <v>0</v>
      </c>
      <c r="E4" s="62">
        <v>0</v>
      </c>
      <c r="F4" s="62">
        <v>26</v>
      </c>
      <c r="G4" s="62">
        <v>0</v>
      </c>
      <c r="H4" s="62">
        <v>0</v>
      </c>
      <c r="I4" s="62">
        <v>0</v>
      </c>
      <c r="J4" s="62">
        <v>0</v>
      </c>
      <c r="K4" s="62">
        <v>1</v>
      </c>
      <c r="L4" s="62">
        <v>1</v>
      </c>
      <c r="M4" s="62">
        <v>0</v>
      </c>
      <c r="N4" s="62">
        <v>0</v>
      </c>
      <c r="O4" s="62">
        <v>0</v>
      </c>
      <c r="P4" s="62">
        <v>0</v>
      </c>
      <c r="Q4" s="62">
        <v>0</v>
      </c>
      <c r="R4" s="62">
        <v>0</v>
      </c>
      <c r="S4" s="62">
        <v>0</v>
      </c>
      <c r="T4" s="64" t="s">
        <v>14</v>
      </c>
    </row>
    <row r="5" spans="1:20" x14ac:dyDescent="0.3">
      <c r="A5" s="78" t="s">
        <v>100</v>
      </c>
      <c r="B5" s="62">
        <v>72</v>
      </c>
      <c r="C5" s="62" t="s">
        <v>34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2">
        <v>0</v>
      </c>
      <c r="K5" s="62">
        <v>0</v>
      </c>
      <c r="L5" s="62">
        <v>0</v>
      </c>
      <c r="M5" s="62">
        <v>0</v>
      </c>
      <c r="N5" s="62">
        <v>0</v>
      </c>
      <c r="O5" s="62">
        <v>0</v>
      </c>
      <c r="P5" s="62">
        <v>0</v>
      </c>
      <c r="Q5" s="62">
        <v>0</v>
      </c>
      <c r="R5" s="62">
        <v>0</v>
      </c>
      <c r="S5" s="62">
        <v>0</v>
      </c>
      <c r="T5" s="64" t="s">
        <v>14</v>
      </c>
    </row>
    <row r="6" spans="1:20" x14ac:dyDescent="0.3">
      <c r="A6" s="78" t="s">
        <v>100</v>
      </c>
      <c r="B6" s="62">
        <v>86</v>
      </c>
      <c r="C6" s="62" t="s">
        <v>35</v>
      </c>
      <c r="D6" s="62">
        <v>1</v>
      </c>
      <c r="E6" s="62">
        <v>0</v>
      </c>
      <c r="F6" s="62">
        <v>154</v>
      </c>
      <c r="G6" s="62">
        <v>0</v>
      </c>
      <c r="H6" s="62">
        <v>0</v>
      </c>
      <c r="I6" s="62">
        <v>0</v>
      </c>
      <c r="J6" s="62">
        <v>0</v>
      </c>
      <c r="K6" s="62">
        <v>1</v>
      </c>
      <c r="L6" s="62">
        <v>0</v>
      </c>
      <c r="M6" s="62">
        <v>0</v>
      </c>
      <c r="N6" s="62">
        <v>0</v>
      </c>
      <c r="O6" s="62">
        <v>0</v>
      </c>
      <c r="P6" s="62">
        <v>0</v>
      </c>
      <c r="Q6" s="62">
        <v>0</v>
      </c>
      <c r="R6" s="62">
        <v>1</v>
      </c>
      <c r="S6" s="62">
        <v>0</v>
      </c>
      <c r="T6" s="149" t="s">
        <v>15</v>
      </c>
    </row>
    <row r="7" spans="1:20" x14ac:dyDescent="0.3">
      <c r="A7" s="78" t="s">
        <v>100</v>
      </c>
      <c r="B7" s="62">
        <v>87</v>
      </c>
      <c r="C7" s="62" t="s">
        <v>36</v>
      </c>
      <c r="D7" s="62">
        <v>0</v>
      </c>
      <c r="E7" s="65">
        <v>1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  <c r="P7" s="62">
        <v>0</v>
      </c>
      <c r="Q7" s="62">
        <v>0</v>
      </c>
      <c r="R7" s="62">
        <v>0</v>
      </c>
      <c r="S7" s="62">
        <v>0</v>
      </c>
      <c r="T7" s="67" t="s">
        <v>14</v>
      </c>
    </row>
    <row r="8" spans="1:20" x14ac:dyDescent="0.3">
      <c r="A8" s="78" t="s">
        <v>100</v>
      </c>
      <c r="B8" s="62">
        <v>73</v>
      </c>
      <c r="C8" s="62" t="s">
        <v>50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67" t="s">
        <v>14</v>
      </c>
    </row>
    <row r="9" spans="1:20" x14ac:dyDescent="0.3">
      <c r="A9" s="78" t="s">
        <v>100</v>
      </c>
      <c r="B9" s="62">
        <v>74</v>
      </c>
      <c r="C9" s="62" t="s">
        <v>37</v>
      </c>
      <c r="D9" s="62">
        <v>0</v>
      </c>
      <c r="E9" s="62">
        <v>0</v>
      </c>
      <c r="F9" s="62">
        <v>30</v>
      </c>
      <c r="G9" s="62">
        <v>2</v>
      </c>
      <c r="H9" s="62">
        <v>0</v>
      </c>
      <c r="I9" s="62">
        <v>0</v>
      </c>
      <c r="J9" s="62">
        <v>0</v>
      </c>
      <c r="K9" s="62">
        <v>2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7" t="s">
        <v>14</v>
      </c>
    </row>
    <row r="10" spans="1:20" x14ac:dyDescent="0.3">
      <c r="A10" s="78" t="s">
        <v>100</v>
      </c>
      <c r="B10" s="62">
        <v>75</v>
      </c>
      <c r="C10" s="62" t="s">
        <v>38</v>
      </c>
      <c r="D10" s="62">
        <v>0</v>
      </c>
      <c r="E10" s="62">
        <v>0</v>
      </c>
      <c r="F10" s="62">
        <v>7</v>
      </c>
      <c r="G10" s="62">
        <v>0</v>
      </c>
      <c r="H10" s="62">
        <v>0</v>
      </c>
      <c r="I10" s="62">
        <v>0</v>
      </c>
      <c r="J10" s="62">
        <v>0</v>
      </c>
      <c r="K10" s="62">
        <v>1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7" t="s">
        <v>14</v>
      </c>
    </row>
    <row r="11" spans="1:20" x14ac:dyDescent="0.3">
      <c r="A11" s="78" t="s">
        <v>100</v>
      </c>
      <c r="B11" s="62">
        <v>76</v>
      </c>
      <c r="C11" s="62" t="s">
        <v>39</v>
      </c>
      <c r="D11" s="62">
        <v>0</v>
      </c>
      <c r="E11" s="62">
        <v>0</v>
      </c>
      <c r="F11" s="62">
        <v>16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7" t="s">
        <v>14</v>
      </c>
    </row>
    <row r="12" spans="1:20" x14ac:dyDescent="0.3">
      <c r="A12" s="78" t="s">
        <v>100</v>
      </c>
      <c r="B12" s="62">
        <v>78</v>
      </c>
      <c r="C12" s="62" t="s">
        <v>40</v>
      </c>
      <c r="D12" s="62">
        <v>1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7" t="s">
        <v>14</v>
      </c>
    </row>
    <row r="13" spans="1:20" x14ac:dyDescent="0.3">
      <c r="A13" s="78" t="s">
        <v>100</v>
      </c>
      <c r="B13" s="62">
        <v>84</v>
      </c>
      <c r="C13" s="62" t="s">
        <v>41</v>
      </c>
      <c r="D13" s="62">
        <v>0</v>
      </c>
      <c r="E13" s="62">
        <v>1</v>
      </c>
      <c r="F13" s="62">
        <v>92</v>
      </c>
      <c r="G13" s="62">
        <v>0</v>
      </c>
      <c r="H13" s="62">
        <v>0</v>
      </c>
      <c r="I13" s="62">
        <v>0</v>
      </c>
      <c r="J13" s="62">
        <v>0</v>
      </c>
      <c r="K13" s="62">
        <v>1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1</v>
      </c>
      <c r="R13" s="62">
        <v>0</v>
      </c>
      <c r="S13" s="62">
        <v>0</v>
      </c>
      <c r="T13" s="149" t="s">
        <v>15</v>
      </c>
    </row>
    <row r="14" spans="1:20" x14ac:dyDescent="0.3">
      <c r="A14" s="78" t="s">
        <v>100</v>
      </c>
      <c r="B14" s="62">
        <v>85</v>
      </c>
      <c r="C14" s="62" t="s">
        <v>48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  <c r="S14" s="62">
        <v>1</v>
      </c>
      <c r="T14" s="67" t="s">
        <v>14</v>
      </c>
    </row>
    <row r="15" spans="1:20" x14ac:dyDescent="0.3">
      <c r="A15" s="78" t="s">
        <v>99</v>
      </c>
      <c r="B15" s="62">
        <v>30</v>
      </c>
      <c r="C15" s="62" t="s">
        <v>42</v>
      </c>
      <c r="D15" s="62">
        <v>4</v>
      </c>
      <c r="E15" s="62">
        <v>0</v>
      </c>
      <c r="F15" s="62">
        <v>142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54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4" t="s">
        <v>14</v>
      </c>
    </row>
    <row r="16" spans="1:20" x14ac:dyDescent="0.3">
      <c r="A16" s="78" t="s">
        <v>99</v>
      </c>
      <c r="B16" s="62">
        <v>38</v>
      </c>
      <c r="C16" s="62" t="s">
        <v>43</v>
      </c>
      <c r="D16" s="62">
        <v>0</v>
      </c>
      <c r="E16" s="62">
        <v>0</v>
      </c>
      <c r="F16" s="62">
        <v>1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4" t="s">
        <v>14</v>
      </c>
    </row>
    <row r="17" spans="1:20" x14ac:dyDescent="0.3">
      <c r="A17" s="78" t="s">
        <v>99</v>
      </c>
      <c r="B17" s="62">
        <v>58</v>
      </c>
      <c r="C17" s="62" t="s">
        <v>44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4" t="s">
        <v>14</v>
      </c>
    </row>
    <row r="18" spans="1:20" x14ac:dyDescent="0.3">
      <c r="A18" s="78" t="s">
        <v>99</v>
      </c>
      <c r="B18" s="62">
        <v>61</v>
      </c>
      <c r="C18" s="62" t="s">
        <v>45</v>
      </c>
      <c r="D18" s="62">
        <v>0</v>
      </c>
      <c r="E18" s="62">
        <v>2</v>
      </c>
      <c r="F18" s="62">
        <v>8</v>
      </c>
      <c r="G18" s="62">
        <v>0</v>
      </c>
      <c r="H18" s="62">
        <v>1</v>
      </c>
      <c r="I18" s="62">
        <v>0</v>
      </c>
      <c r="J18" s="62">
        <v>0</v>
      </c>
      <c r="K18" s="62">
        <v>0</v>
      </c>
      <c r="L18" s="62">
        <v>2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4" t="s">
        <v>14</v>
      </c>
    </row>
    <row r="19" spans="1:20" x14ac:dyDescent="0.3">
      <c r="A19" s="78" t="s">
        <v>99</v>
      </c>
      <c r="B19" s="62">
        <v>62</v>
      </c>
      <c r="C19" s="62" t="s">
        <v>46</v>
      </c>
      <c r="D19" s="62">
        <v>1</v>
      </c>
      <c r="E19" s="62">
        <v>0</v>
      </c>
      <c r="F19" s="62">
        <v>0</v>
      </c>
      <c r="G19" s="62">
        <v>0</v>
      </c>
      <c r="H19" s="62">
        <v>11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4" t="s">
        <v>14</v>
      </c>
    </row>
    <row r="20" spans="1:20" x14ac:dyDescent="0.3">
      <c r="A20" s="78" t="s">
        <v>99</v>
      </c>
      <c r="B20" s="62">
        <v>65</v>
      </c>
      <c r="C20" s="62" t="s">
        <v>47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1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4" t="s">
        <v>14</v>
      </c>
    </row>
    <row r="21" spans="1:20" x14ac:dyDescent="0.3">
      <c r="A21" s="78" t="s">
        <v>100</v>
      </c>
      <c r="B21" s="62">
        <v>66</v>
      </c>
      <c r="C21" s="62" t="s">
        <v>52</v>
      </c>
      <c r="D21" s="62">
        <v>1</v>
      </c>
      <c r="E21" s="62">
        <v>0</v>
      </c>
      <c r="F21" s="62">
        <v>1</v>
      </c>
      <c r="G21" s="62">
        <v>0</v>
      </c>
      <c r="H21" s="62">
        <v>0</v>
      </c>
      <c r="I21" s="62">
        <v>0</v>
      </c>
      <c r="J21" s="62">
        <v>1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4" t="s">
        <v>14</v>
      </c>
    </row>
    <row r="22" spans="1:20" x14ac:dyDescent="0.3">
      <c r="A22" s="78" t="s">
        <v>100</v>
      </c>
      <c r="B22" s="62">
        <v>83</v>
      </c>
      <c r="C22" s="62" t="s">
        <v>26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5">
        <v>1</v>
      </c>
      <c r="T22" s="64" t="s">
        <v>14</v>
      </c>
    </row>
    <row r="23" spans="1:20" x14ac:dyDescent="0.3">
      <c r="A23" s="78" t="s">
        <v>99</v>
      </c>
      <c r="B23" s="62">
        <v>70</v>
      </c>
      <c r="C23" s="62" t="s">
        <v>27</v>
      </c>
      <c r="D23" s="62">
        <v>0</v>
      </c>
      <c r="E23" s="62">
        <v>0</v>
      </c>
      <c r="F23" s="62">
        <v>2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4" t="s">
        <v>14</v>
      </c>
    </row>
    <row r="24" spans="1:20" x14ac:dyDescent="0.3">
      <c r="A24" s="78" t="s">
        <v>99</v>
      </c>
      <c r="B24" s="62">
        <v>71</v>
      </c>
      <c r="C24" s="62" t="s">
        <v>28</v>
      </c>
      <c r="D24" s="62">
        <v>0</v>
      </c>
      <c r="E24" s="62">
        <v>0</v>
      </c>
      <c r="F24" s="62">
        <v>17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1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4" t="s">
        <v>14</v>
      </c>
    </row>
    <row r="25" spans="1:20" x14ac:dyDescent="0.3">
      <c r="A25" s="78" t="s">
        <v>99</v>
      </c>
      <c r="B25" s="62">
        <v>79</v>
      </c>
      <c r="C25" s="62" t="s">
        <v>29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4" t="s">
        <v>14</v>
      </c>
    </row>
    <row r="26" spans="1:20" x14ac:dyDescent="0.3">
      <c r="A26" s="78" t="s">
        <v>99</v>
      </c>
      <c r="B26" s="62">
        <v>80</v>
      </c>
      <c r="C26" s="62" t="s">
        <v>30</v>
      </c>
      <c r="D26" s="62">
        <v>0</v>
      </c>
      <c r="E26" s="62">
        <v>0</v>
      </c>
      <c r="F26" s="62">
        <v>2</v>
      </c>
      <c r="G26" s="62">
        <v>1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4" t="s">
        <v>14</v>
      </c>
    </row>
    <row r="27" spans="1:20" x14ac:dyDescent="0.3">
      <c r="A27" s="78" t="s">
        <v>99</v>
      </c>
      <c r="B27" s="62">
        <v>81</v>
      </c>
      <c r="C27" s="62" t="s">
        <v>31</v>
      </c>
      <c r="D27" s="62">
        <v>0</v>
      </c>
      <c r="E27" s="62">
        <v>0</v>
      </c>
      <c r="F27" s="62">
        <v>1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4" t="s">
        <v>14</v>
      </c>
    </row>
    <row r="28" spans="1:20" x14ac:dyDescent="0.3">
      <c r="A28" s="78" t="s">
        <v>99</v>
      </c>
      <c r="B28" s="62">
        <v>82</v>
      </c>
      <c r="C28" s="62" t="s">
        <v>32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1</v>
      </c>
      <c r="M28" s="62">
        <v>0</v>
      </c>
      <c r="N28" s="62">
        <v>0</v>
      </c>
      <c r="O28" s="62">
        <v>1</v>
      </c>
      <c r="P28" s="62">
        <v>0</v>
      </c>
      <c r="Q28" s="62">
        <v>0</v>
      </c>
      <c r="R28" s="62">
        <v>0</v>
      </c>
      <c r="S28" s="62">
        <v>0</v>
      </c>
      <c r="T28" s="64" t="s">
        <v>14</v>
      </c>
    </row>
    <row r="29" spans="1:20" x14ac:dyDescent="0.3">
      <c r="B29" s="68" t="s">
        <v>20</v>
      </c>
      <c r="C29" s="68" t="s">
        <v>9</v>
      </c>
      <c r="D29" s="68">
        <f>SUM(D4:D28)</f>
        <v>8</v>
      </c>
      <c r="E29" s="68">
        <f t="shared" ref="E29:S29" si="0">SUM(E4:E28)</f>
        <v>4</v>
      </c>
      <c r="F29" s="68">
        <f t="shared" si="0"/>
        <v>499</v>
      </c>
      <c r="G29" s="68">
        <f t="shared" si="0"/>
        <v>3</v>
      </c>
      <c r="H29" s="68">
        <f t="shared" si="0"/>
        <v>12</v>
      </c>
      <c r="I29" s="68">
        <f t="shared" si="0"/>
        <v>0</v>
      </c>
      <c r="J29" s="68">
        <f t="shared" si="0"/>
        <v>1</v>
      </c>
      <c r="K29" s="68">
        <f t="shared" si="0"/>
        <v>6</v>
      </c>
      <c r="L29" s="68">
        <f t="shared" si="0"/>
        <v>59</v>
      </c>
      <c r="M29" s="68">
        <f t="shared" si="0"/>
        <v>0</v>
      </c>
      <c r="N29" s="68">
        <f t="shared" si="0"/>
        <v>1</v>
      </c>
      <c r="O29" s="68">
        <f t="shared" si="0"/>
        <v>1</v>
      </c>
      <c r="P29" s="68">
        <f t="shared" si="0"/>
        <v>0</v>
      </c>
      <c r="Q29" s="68">
        <f t="shared" si="0"/>
        <v>1</v>
      </c>
      <c r="R29" s="68">
        <f t="shared" si="0"/>
        <v>1</v>
      </c>
      <c r="S29" s="68">
        <f t="shared" si="0"/>
        <v>2</v>
      </c>
      <c r="T29" s="147"/>
    </row>
    <row r="30" spans="1:20" x14ac:dyDescent="0.3">
      <c r="B30" s="72" t="s">
        <v>20</v>
      </c>
      <c r="C30" s="73" t="s">
        <v>70</v>
      </c>
      <c r="D30" s="105">
        <f>D29/25</f>
        <v>0.32</v>
      </c>
      <c r="E30" s="105">
        <f t="shared" ref="E30:S30" si="1">E29/25</f>
        <v>0.16</v>
      </c>
      <c r="F30" s="105">
        <f t="shared" si="1"/>
        <v>19.96</v>
      </c>
      <c r="G30" s="105">
        <f t="shared" si="1"/>
        <v>0.12</v>
      </c>
      <c r="H30" s="105">
        <f t="shared" si="1"/>
        <v>0.48</v>
      </c>
      <c r="I30" s="105">
        <f t="shared" si="1"/>
        <v>0</v>
      </c>
      <c r="J30" s="105">
        <f t="shared" si="1"/>
        <v>0.04</v>
      </c>
      <c r="K30" s="105">
        <f t="shared" si="1"/>
        <v>0.24</v>
      </c>
      <c r="L30" s="105">
        <f t="shared" si="1"/>
        <v>2.36</v>
      </c>
      <c r="M30" s="105">
        <f t="shared" si="1"/>
        <v>0</v>
      </c>
      <c r="N30" s="105">
        <f t="shared" si="1"/>
        <v>0.04</v>
      </c>
      <c r="O30" s="105">
        <f t="shared" si="1"/>
        <v>0.04</v>
      </c>
      <c r="P30" s="105">
        <f t="shared" si="1"/>
        <v>0</v>
      </c>
      <c r="Q30" s="105">
        <f t="shared" si="1"/>
        <v>0.04</v>
      </c>
      <c r="R30" s="105">
        <f t="shared" si="1"/>
        <v>0.04</v>
      </c>
      <c r="S30" s="105">
        <f t="shared" si="1"/>
        <v>0.08</v>
      </c>
      <c r="T30" s="148"/>
    </row>
    <row r="31" spans="1:20" ht="18" customHeight="1" x14ac:dyDescent="0.3">
      <c r="B31" s="76"/>
      <c r="C31" s="108" t="s">
        <v>73</v>
      </c>
      <c r="D31" s="105">
        <f>D29/5</f>
        <v>1.6</v>
      </c>
      <c r="E31" s="105">
        <f>E29/3</f>
        <v>1.3333333333333333</v>
      </c>
      <c r="F31" s="105">
        <f>F29/14</f>
        <v>35.642857142857146</v>
      </c>
      <c r="G31" s="105">
        <f>G29/3</f>
        <v>1</v>
      </c>
      <c r="H31" s="105">
        <f>H29/2</f>
        <v>6</v>
      </c>
      <c r="I31" s="105">
        <f t="shared" ref="I31:P31" si="2">I29/3</f>
        <v>0</v>
      </c>
      <c r="J31" s="105">
        <f>J29/1</f>
        <v>1</v>
      </c>
      <c r="K31" s="105">
        <f>K29/5</f>
        <v>1.2</v>
      </c>
      <c r="L31" s="105">
        <f>L29/4</f>
        <v>14.75</v>
      </c>
      <c r="M31" s="105">
        <f t="shared" si="2"/>
        <v>0</v>
      </c>
      <c r="N31" s="105">
        <f>N29/1</f>
        <v>1</v>
      </c>
      <c r="O31" s="105">
        <f t="shared" si="2"/>
        <v>0.33333333333333331</v>
      </c>
      <c r="P31" s="105">
        <f t="shared" si="2"/>
        <v>0</v>
      </c>
      <c r="Q31" s="105">
        <f>Q29/1</f>
        <v>1</v>
      </c>
      <c r="R31" s="105">
        <f>R29/1</f>
        <v>1</v>
      </c>
      <c r="S31" s="105">
        <f>S29/2</f>
        <v>1</v>
      </c>
      <c r="T31" s="76"/>
    </row>
    <row r="32" spans="1:20" x14ac:dyDescent="0.3">
      <c r="B32" s="79"/>
      <c r="C32" s="152" t="s">
        <v>97</v>
      </c>
      <c r="D32" s="152">
        <f>5/25*100</f>
        <v>20</v>
      </c>
      <c r="E32" s="76"/>
      <c r="F32" s="76"/>
      <c r="G32" s="76"/>
      <c r="H32" s="76"/>
      <c r="I32" s="76"/>
      <c r="J32" s="76"/>
      <c r="K32" s="76"/>
      <c r="L32" s="75"/>
      <c r="M32" s="75"/>
      <c r="N32" s="75"/>
      <c r="O32" s="76"/>
      <c r="P32" s="76"/>
      <c r="Q32" s="76"/>
      <c r="R32" s="76"/>
      <c r="S32" s="76"/>
    </row>
    <row r="33" spans="2:20" x14ac:dyDescent="0.3">
      <c r="B33" s="79"/>
      <c r="C33" s="76"/>
      <c r="D33" s="76"/>
      <c r="E33" s="76"/>
      <c r="F33" s="76"/>
      <c r="G33" s="76"/>
      <c r="H33" s="76"/>
      <c r="I33" s="76"/>
      <c r="J33" s="76"/>
      <c r="K33" s="76"/>
      <c r="L33" s="75"/>
      <c r="M33" s="75"/>
      <c r="N33" s="75"/>
      <c r="O33" s="76"/>
      <c r="P33" s="76"/>
      <c r="Q33" s="76"/>
      <c r="R33" s="76"/>
      <c r="S33" s="76"/>
    </row>
    <row r="34" spans="2:20" x14ac:dyDescent="0.3">
      <c r="B34" s="79"/>
      <c r="C34" s="76"/>
      <c r="D34" s="76"/>
      <c r="E34" s="76"/>
      <c r="F34" s="76"/>
      <c r="G34" s="76"/>
      <c r="H34" s="76"/>
      <c r="I34" s="76"/>
      <c r="J34" s="76"/>
      <c r="K34" s="76"/>
      <c r="L34" s="75"/>
      <c r="M34" s="75"/>
      <c r="N34" s="75"/>
      <c r="O34" s="76"/>
      <c r="P34" s="76"/>
      <c r="Q34" s="76"/>
      <c r="R34" s="76"/>
      <c r="S34" s="76"/>
    </row>
    <row r="35" spans="2:20" x14ac:dyDescent="0.3">
      <c r="B35" s="79"/>
      <c r="C35" s="76"/>
      <c r="D35" s="76"/>
      <c r="E35" s="76"/>
      <c r="F35" s="76"/>
      <c r="G35" s="76"/>
      <c r="H35" s="76"/>
      <c r="I35" s="76"/>
      <c r="J35" s="76"/>
      <c r="K35" s="76"/>
      <c r="L35" s="75"/>
      <c r="M35" s="75"/>
      <c r="N35" s="75"/>
      <c r="O35" s="76"/>
      <c r="P35" s="76"/>
      <c r="Q35" s="76"/>
      <c r="R35" s="76"/>
      <c r="S35" s="76"/>
    </row>
    <row r="36" spans="2:20" x14ac:dyDescent="0.3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5"/>
      <c r="N36" s="75"/>
      <c r="O36" s="76"/>
      <c r="P36" s="76"/>
      <c r="Q36" s="76"/>
      <c r="R36" s="76"/>
      <c r="S36" s="76"/>
      <c r="T36" s="76"/>
    </row>
  </sheetData>
  <mergeCells count="3">
    <mergeCell ref="D2:F2"/>
    <mergeCell ref="G2:L2"/>
    <mergeCell ref="M2:R2"/>
  </mergeCells>
  <pageMargins left="0.7" right="0.7" top="0.75" bottom="0.75" header="0.3" footer="0.3"/>
  <pageSetup orientation="portrait" horizontalDpi="1200" verticalDpi="1200" r:id="rId1"/>
  <ignoredErrors>
    <ignoredError sqref="N31 H31 F31" formula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59999389629810485"/>
  </sheetPr>
  <dimension ref="A1:T36"/>
  <sheetViews>
    <sheetView workbookViewId="0">
      <selection activeCell="D4" sqref="D4:D28"/>
    </sheetView>
  </sheetViews>
  <sheetFormatPr defaultColWidth="8.765625" defaultRowHeight="11.6" x14ac:dyDescent="0.3"/>
  <cols>
    <col min="1" max="1" width="8.765625" style="78"/>
    <col min="2" max="2" width="6.4609375" style="78" customWidth="1"/>
    <col min="3" max="3" width="17.07421875" style="78" customWidth="1"/>
    <col min="4" max="4" width="4" style="78" customWidth="1"/>
    <col min="5" max="5" width="3.69140625" style="78" customWidth="1"/>
    <col min="6" max="6" width="3.765625" style="78" customWidth="1"/>
    <col min="7" max="7" width="3.4609375" style="78" customWidth="1"/>
    <col min="8" max="8" width="3.69140625" style="78" customWidth="1"/>
    <col min="9" max="9" width="2.69140625" style="78" customWidth="1"/>
    <col min="10" max="10" width="3.4609375" style="78" customWidth="1"/>
    <col min="11" max="11" width="3.3046875" style="78" customWidth="1"/>
    <col min="12" max="12" width="2.765625" style="78" customWidth="1"/>
    <col min="13" max="13" width="3.4609375" style="78" customWidth="1"/>
    <col min="14" max="14" width="2.69140625" style="78" customWidth="1"/>
    <col min="15" max="15" width="3.4609375" style="78" customWidth="1"/>
    <col min="16" max="16" width="2.69140625" style="78" customWidth="1"/>
    <col min="17" max="17" width="3.4609375" style="78" customWidth="1"/>
    <col min="18" max="18" width="3.07421875" style="78" customWidth="1"/>
    <col min="19" max="19" width="3.69140625" style="78" customWidth="1"/>
    <col min="20" max="20" width="5" style="78" customWidth="1"/>
    <col min="21" max="16384" width="8.765625" style="78"/>
  </cols>
  <sheetData>
    <row r="1" spans="1:20" s="111" customFormat="1" ht="15.9" x14ac:dyDescent="0.35">
      <c r="B1" s="116" t="s">
        <v>80</v>
      </c>
    </row>
    <row r="2" spans="1:20" x14ac:dyDescent="0.3">
      <c r="B2" s="76"/>
      <c r="C2" s="76"/>
      <c r="D2" s="279" t="s">
        <v>67</v>
      </c>
      <c r="E2" s="280"/>
      <c r="F2" s="281"/>
      <c r="G2" s="279" t="s">
        <v>68</v>
      </c>
      <c r="H2" s="282"/>
      <c r="I2" s="282"/>
      <c r="J2" s="282"/>
      <c r="K2" s="282"/>
      <c r="L2" s="286"/>
      <c r="M2" s="279" t="s">
        <v>66</v>
      </c>
      <c r="N2" s="283"/>
      <c r="O2" s="283"/>
      <c r="P2" s="283"/>
      <c r="Q2" s="283"/>
      <c r="R2" s="283"/>
      <c r="S2" s="287"/>
      <c r="T2" s="77"/>
    </row>
    <row r="3" spans="1:20" ht="121.95" customHeight="1" x14ac:dyDescent="0.3">
      <c r="B3" s="58" t="s">
        <v>0</v>
      </c>
      <c r="C3" s="58" t="s">
        <v>25</v>
      </c>
      <c r="D3" s="59" t="s">
        <v>5</v>
      </c>
      <c r="E3" s="59" t="s">
        <v>6</v>
      </c>
      <c r="F3" s="59" t="s">
        <v>1</v>
      </c>
      <c r="G3" s="59" t="s">
        <v>7</v>
      </c>
      <c r="H3" s="59" t="s">
        <v>4</v>
      </c>
      <c r="I3" s="59" t="s">
        <v>3</v>
      </c>
      <c r="J3" s="60" t="s">
        <v>2</v>
      </c>
      <c r="K3" s="59" t="s">
        <v>59</v>
      </c>
      <c r="L3" s="60" t="s">
        <v>60</v>
      </c>
      <c r="M3" s="60" t="s">
        <v>18</v>
      </c>
      <c r="N3" s="60" t="s">
        <v>62</v>
      </c>
      <c r="O3" s="60" t="s">
        <v>63</v>
      </c>
      <c r="P3" s="60" t="s">
        <v>12</v>
      </c>
      <c r="Q3" s="61" t="s">
        <v>61</v>
      </c>
      <c r="R3" s="59" t="s">
        <v>64</v>
      </c>
      <c r="S3" s="59" t="s">
        <v>72</v>
      </c>
      <c r="T3" s="59" t="s">
        <v>13</v>
      </c>
    </row>
    <row r="4" spans="1:20" x14ac:dyDescent="0.3">
      <c r="A4" s="78" t="s">
        <v>100</v>
      </c>
      <c r="B4" s="62">
        <v>69</v>
      </c>
      <c r="C4" s="62" t="s">
        <v>33</v>
      </c>
      <c r="D4" s="62">
        <v>0</v>
      </c>
      <c r="E4" s="62">
        <v>1</v>
      </c>
      <c r="F4" s="62">
        <v>2</v>
      </c>
      <c r="G4" s="62">
        <v>0</v>
      </c>
      <c r="H4" s="62">
        <v>0</v>
      </c>
      <c r="I4" s="62">
        <v>0</v>
      </c>
      <c r="J4" s="63">
        <v>0</v>
      </c>
      <c r="K4" s="63">
        <v>2</v>
      </c>
      <c r="L4" s="63">
        <v>0</v>
      </c>
      <c r="M4" s="63">
        <v>0</v>
      </c>
      <c r="N4" s="63">
        <v>0</v>
      </c>
      <c r="O4" s="63">
        <v>0</v>
      </c>
      <c r="P4" s="63">
        <v>0</v>
      </c>
      <c r="Q4" s="63">
        <v>0</v>
      </c>
      <c r="R4" s="63">
        <v>0</v>
      </c>
      <c r="S4" s="63">
        <v>0</v>
      </c>
      <c r="T4" s="62" t="s">
        <v>14</v>
      </c>
    </row>
    <row r="5" spans="1:20" x14ac:dyDescent="0.3">
      <c r="A5" s="78" t="s">
        <v>100</v>
      </c>
      <c r="B5" s="62">
        <v>72</v>
      </c>
      <c r="C5" s="62" t="s">
        <v>34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1</v>
      </c>
      <c r="K5" s="63">
        <v>3</v>
      </c>
      <c r="L5" s="63">
        <v>0</v>
      </c>
      <c r="M5" s="63">
        <v>0</v>
      </c>
      <c r="N5" s="63">
        <v>0</v>
      </c>
      <c r="O5" s="63">
        <v>0</v>
      </c>
      <c r="P5" s="63">
        <v>0</v>
      </c>
      <c r="Q5" s="63">
        <v>0</v>
      </c>
      <c r="R5" s="63">
        <v>0</v>
      </c>
      <c r="S5" s="63">
        <v>0</v>
      </c>
      <c r="T5" s="62" t="s">
        <v>14</v>
      </c>
    </row>
    <row r="6" spans="1:20" x14ac:dyDescent="0.3">
      <c r="A6" s="78" t="s">
        <v>100</v>
      </c>
      <c r="B6" s="62">
        <v>86</v>
      </c>
      <c r="C6" s="62" t="s">
        <v>35</v>
      </c>
      <c r="D6" s="62">
        <v>0</v>
      </c>
      <c r="E6" s="62">
        <v>0</v>
      </c>
      <c r="F6" s="62">
        <v>2</v>
      </c>
      <c r="G6" s="62">
        <v>0</v>
      </c>
      <c r="H6" s="62">
        <v>0</v>
      </c>
      <c r="I6" s="62">
        <v>0</v>
      </c>
      <c r="J6" s="63">
        <v>0</v>
      </c>
      <c r="K6" s="63">
        <v>0</v>
      </c>
      <c r="L6" s="63">
        <v>0</v>
      </c>
      <c r="M6" s="63">
        <v>0</v>
      </c>
      <c r="N6" s="63">
        <v>0</v>
      </c>
      <c r="O6" s="63">
        <v>0</v>
      </c>
      <c r="P6" s="63">
        <v>0</v>
      </c>
      <c r="Q6" s="64">
        <v>1</v>
      </c>
      <c r="R6" s="62">
        <v>0</v>
      </c>
      <c r="S6" s="62">
        <v>1</v>
      </c>
      <c r="T6" s="65" t="s">
        <v>14</v>
      </c>
    </row>
    <row r="7" spans="1:20" x14ac:dyDescent="0.3">
      <c r="A7" s="78" t="s">
        <v>100</v>
      </c>
      <c r="B7" s="62">
        <v>87</v>
      </c>
      <c r="C7" s="62" t="s">
        <v>36</v>
      </c>
      <c r="D7" s="62">
        <v>0</v>
      </c>
      <c r="E7" s="65">
        <v>2</v>
      </c>
      <c r="F7" s="65">
        <v>0</v>
      </c>
      <c r="G7" s="62">
        <v>0</v>
      </c>
      <c r="H7" s="62">
        <v>0</v>
      </c>
      <c r="I7" s="62">
        <v>0</v>
      </c>
      <c r="J7" s="66">
        <v>0</v>
      </c>
      <c r="K7" s="66">
        <v>1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7">
        <v>1</v>
      </c>
      <c r="R7" s="65">
        <v>0</v>
      </c>
      <c r="S7" s="65">
        <v>0</v>
      </c>
      <c r="T7" s="65" t="s">
        <v>14</v>
      </c>
    </row>
    <row r="8" spans="1:20" x14ac:dyDescent="0.3">
      <c r="A8" s="78" t="s">
        <v>100</v>
      </c>
      <c r="B8" s="62">
        <v>73</v>
      </c>
      <c r="C8" s="62" t="s">
        <v>50</v>
      </c>
      <c r="D8" s="62">
        <v>0</v>
      </c>
      <c r="E8" s="62">
        <v>0</v>
      </c>
      <c r="F8" s="62">
        <v>0</v>
      </c>
      <c r="G8" s="62">
        <v>1</v>
      </c>
      <c r="H8" s="62">
        <v>0</v>
      </c>
      <c r="I8" s="62">
        <v>0</v>
      </c>
      <c r="J8" s="63">
        <v>0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>
        <v>0</v>
      </c>
      <c r="R8" s="63">
        <v>0</v>
      </c>
      <c r="S8" s="63">
        <v>0</v>
      </c>
      <c r="T8" s="65" t="s">
        <v>14</v>
      </c>
    </row>
    <row r="9" spans="1:20" x14ac:dyDescent="0.3">
      <c r="A9" s="78" t="s">
        <v>100</v>
      </c>
      <c r="B9" s="62">
        <v>74</v>
      </c>
      <c r="C9" s="62" t="s">
        <v>37</v>
      </c>
      <c r="D9" s="62">
        <v>1</v>
      </c>
      <c r="E9" s="62">
        <v>0</v>
      </c>
      <c r="F9" s="62">
        <v>2</v>
      </c>
      <c r="G9" s="62">
        <v>0</v>
      </c>
      <c r="H9" s="62">
        <v>0</v>
      </c>
      <c r="I9" s="62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63">
        <v>0</v>
      </c>
      <c r="S9" s="63">
        <v>0</v>
      </c>
      <c r="T9" s="65" t="s">
        <v>14</v>
      </c>
    </row>
    <row r="10" spans="1:20" x14ac:dyDescent="0.3">
      <c r="A10" s="78" t="s">
        <v>100</v>
      </c>
      <c r="B10" s="62">
        <v>75</v>
      </c>
      <c r="C10" s="62" t="s">
        <v>38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1</v>
      </c>
      <c r="K10" s="63">
        <v>0</v>
      </c>
      <c r="L10" s="63">
        <v>0</v>
      </c>
      <c r="M10" s="63">
        <v>1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3">
        <v>0</v>
      </c>
      <c r="T10" s="65" t="s">
        <v>14</v>
      </c>
    </row>
    <row r="11" spans="1:20" x14ac:dyDescent="0.3">
      <c r="A11" s="78" t="s">
        <v>100</v>
      </c>
      <c r="B11" s="62">
        <v>76</v>
      </c>
      <c r="C11" s="62" t="s">
        <v>39</v>
      </c>
      <c r="D11" s="62">
        <v>1</v>
      </c>
      <c r="E11" s="62">
        <v>0</v>
      </c>
      <c r="F11" s="62">
        <v>16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5" t="s">
        <v>14</v>
      </c>
    </row>
    <row r="12" spans="1:20" x14ac:dyDescent="0.3">
      <c r="A12" s="78" t="s">
        <v>100</v>
      </c>
      <c r="B12" s="62">
        <v>78</v>
      </c>
      <c r="C12" s="62" t="s">
        <v>40</v>
      </c>
      <c r="D12" s="62">
        <v>0</v>
      </c>
      <c r="E12" s="62">
        <v>1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5" t="s">
        <v>14</v>
      </c>
    </row>
    <row r="13" spans="1:20" x14ac:dyDescent="0.3">
      <c r="A13" s="78" t="s">
        <v>100</v>
      </c>
      <c r="B13" s="62">
        <v>84</v>
      </c>
      <c r="C13" s="62" t="s">
        <v>41</v>
      </c>
      <c r="D13" s="62">
        <v>0</v>
      </c>
      <c r="E13" s="62">
        <v>0</v>
      </c>
      <c r="F13" s="62">
        <v>18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5" t="s">
        <v>14</v>
      </c>
    </row>
    <row r="14" spans="1:20" x14ac:dyDescent="0.3">
      <c r="A14" s="78" t="s">
        <v>100</v>
      </c>
      <c r="B14" s="62">
        <v>85</v>
      </c>
      <c r="C14" s="62" t="s">
        <v>48</v>
      </c>
      <c r="D14" s="62">
        <v>0</v>
      </c>
      <c r="E14" s="62">
        <v>0</v>
      </c>
      <c r="F14" s="62">
        <v>0</v>
      </c>
      <c r="G14" s="62">
        <v>1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  <c r="S14" s="62">
        <v>0</v>
      </c>
      <c r="T14" s="65" t="s">
        <v>14</v>
      </c>
    </row>
    <row r="15" spans="1:20" x14ac:dyDescent="0.3">
      <c r="A15" s="78" t="s">
        <v>99</v>
      </c>
      <c r="B15" s="62">
        <v>30</v>
      </c>
      <c r="C15" s="62" t="s">
        <v>42</v>
      </c>
      <c r="D15" s="63" t="s">
        <v>65</v>
      </c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62" t="s">
        <v>14</v>
      </c>
    </row>
    <row r="16" spans="1:20" x14ac:dyDescent="0.3">
      <c r="A16" s="78" t="s">
        <v>99</v>
      </c>
      <c r="B16" s="62">
        <v>38</v>
      </c>
      <c r="C16" s="62" t="s">
        <v>43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3">
        <v>2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4" t="s">
        <v>14</v>
      </c>
    </row>
    <row r="17" spans="1:20" x14ac:dyDescent="0.3">
      <c r="A17" s="78" t="s">
        <v>99</v>
      </c>
      <c r="B17" s="62">
        <v>58</v>
      </c>
      <c r="C17" s="62" t="s">
        <v>44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6">
        <v>1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64" t="s">
        <v>14</v>
      </c>
    </row>
    <row r="18" spans="1:20" x14ac:dyDescent="0.3">
      <c r="A18" s="78" t="s">
        <v>99</v>
      </c>
      <c r="B18" s="62">
        <v>61</v>
      </c>
      <c r="C18" s="62" t="s">
        <v>45</v>
      </c>
      <c r="D18" s="62">
        <v>0</v>
      </c>
      <c r="E18" s="62">
        <v>7</v>
      </c>
      <c r="F18" s="62">
        <v>0</v>
      </c>
      <c r="G18" s="62">
        <v>2</v>
      </c>
      <c r="H18" s="62">
        <v>1</v>
      </c>
      <c r="I18" s="62">
        <v>0</v>
      </c>
      <c r="J18" s="62">
        <v>0</v>
      </c>
      <c r="K18" s="62">
        <v>0</v>
      </c>
      <c r="L18" s="62">
        <v>0</v>
      </c>
      <c r="M18" s="66">
        <v>0</v>
      </c>
      <c r="N18" s="66">
        <v>0</v>
      </c>
      <c r="O18" s="66">
        <v>1</v>
      </c>
      <c r="P18" s="63">
        <v>0</v>
      </c>
      <c r="Q18" s="63">
        <v>0</v>
      </c>
      <c r="R18" s="63">
        <v>0</v>
      </c>
      <c r="S18" s="63">
        <v>0</v>
      </c>
      <c r="T18" s="64" t="s">
        <v>14</v>
      </c>
    </row>
    <row r="19" spans="1:20" x14ac:dyDescent="0.3">
      <c r="A19" s="78" t="s">
        <v>99</v>
      </c>
      <c r="B19" s="62">
        <v>62</v>
      </c>
      <c r="C19" s="62" t="s">
        <v>46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6">
        <v>2</v>
      </c>
      <c r="N19" s="66">
        <v>0</v>
      </c>
      <c r="O19" s="66">
        <v>0</v>
      </c>
      <c r="P19" s="63">
        <v>0</v>
      </c>
      <c r="Q19" s="66">
        <v>0</v>
      </c>
      <c r="R19" s="63">
        <v>0</v>
      </c>
      <c r="S19" s="66">
        <v>0</v>
      </c>
      <c r="T19" s="64" t="s">
        <v>14</v>
      </c>
    </row>
    <row r="20" spans="1:20" x14ac:dyDescent="0.3">
      <c r="A20" s="78" t="s">
        <v>99</v>
      </c>
      <c r="B20" s="62">
        <v>65</v>
      </c>
      <c r="C20" s="62" t="s">
        <v>47</v>
      </c>
      <c r="D20" s="62">
        <v>0</v>
      </c>
      <c r="E20" s="62">
        <v>1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3">
        <v>1</v>
      </c>
      <c r="N20" s="63">
        <v>0</v>
      </c>
      <c r="O20" s="66">
        <v>0</v>
      </c>
      <c r="P20" s="63">
        <v>0</v>
      </c>
      <c r="Q20" s="66">
        <v>0</v>
      </c>
      <c r="R20" s="63">
        <v>0</v>
      </c>
      <c r="S20" s="66">
        <v>0</v>
      </c>
      <c r="T20" s="64" t="s">
        <v>14</v>
      </c>
    </row>
    <row r="21" spans="1:20" x14ac:dyDescent="0.3">
      <c r="A21" s="78" t="s">
        <v>100</v>
      </c>
      <c r="B21" s="62">
        <v>66</v>
      </c>
      <c r="C21" s="62" t="s">
        <v>52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6">
        <v>0</v>
      </c>
      <c r="N21" s="66">
        <v>1</v>
      </c>
      <c r="O21" s="66">
        <v>0</v>
      </c>
      <c r="P21" s="63">
        <v>0</v>
      </c>
      <c r="Q21" s="66">
        <v>0</v>
      </c>
      <c r="R21" s="63">
        <v>0</v>
      </c>
      <c r="S21" s="66">
        <v>0</v>
      </c>
      <c r="T21" s="64" t="s">
        <v>14</v>
      </c>
    </row>
    <row r="22" spans="1:20" x14ac:dyDescent="0.3">
      <c r="A22" s="78" t="s">
        <v>100</v>
      </c>
      <c r="B22" s="62">
        <v>83</v>
      </c>
      <c r="C22" s="62" t="s">
        <v>26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3">
        <v>1</v>
      </c>
      <c r="N22" s="63">
        <v>0</v>
      </c>
      <c r="O22" s="66">
        <v>0</v>
      </c>
      <c r="P22" s="63">
        <v>0</v>
      </c>
      <c r="Q22" s="66">
        <v>0</v>
      </c>
      <c r="R22" s="63">
        <v>0</v>
      </c>
      <c r="S22" s="66">
        <v>0</v>
      </c>
      <c r="T22" s="64" t="s">
        <v>14</v>
      </c>
    </row>
    <row r="23" spans="1:20" x14ac:dyDescent="0.3">
      <c r="A23" s="78" t="s">
        <v>99</v>
      </c>
      <c r="B23" s="62">
        <v>70</v>
      </c>
      <c r="C23" s="62" t="s">
        <v>27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3">
        <v>1</v>
      </c>
      <c r="L23" s="63">
        <v>0</v>
      </c>
      <c r="M23" s="66">
        <v>1</v>
      </c>
      <c r="N23" s="66">
        <v>0</v>
      </c>
      <c r="O23" s="66">
        <v>0</v>
      </c>
      <c r="P23" s="63">
        <v>0</v>
      </c>
      <c r="Q23" s="66">
        <v>0</v>
      </c>
      <c r="R23" s="63">
        <v>0</v>
      </c>
      <c r="S23" s="66">
        <v>0</v>
      </c>
      <c r="T23" s="64" t="s">
        <v>14</v>
      </c>
    </row>
    <row r="24" spans="1:20" x14ac:dyDescent="0.3">
      <c r="A24" s="78" t="s">
        <v>99</v>
      </c>
      <c r="B24" s="62">
        <v>71</v>
      </c>
      <c r="C24" s="62" t="s">
        <v>28</v>
      </c>
      <c r="D24" s="62">
        <v>0</v>
      </c>
      <c r="E24" s="62">
        <v>0</v>
      </c>
      <c r="F24" s="62">
        <v>23</v>
      </c>
      <c r="G24" s="62">
        <v>0</v>
      </c>
      <c r="H24" s="62">
        <v>0</v>
      </c>
      <c r="I24" s="62">
        <v>0</v>
      </c>
      <c r="J24" s="62">
        <v>0</v>
      </c>
      <c r="K24" s="63">
        <v>0</v>
      </c>
      <c r="L24" s="63">
        <v>0</v>
      </c>
      <c r="M24" s="63">
        <v>0</v>
      </c>
      <c r="N24" s="63">
        <v>0</v>
      </c>
      <c r="O24" s="63">
        <v>1</v>
      </c>
      <c r="P24" s="63">
        <v>0</v>
      </c>
      <c r="Q24" s="66">
        <v>0</v>
      </c>
      <c r="R24" s="63">
        <v>0</v>
      </c>
      <c r="S24" s="66">
        <v>0</v>
      </c>
      <c r="T24" s="64" t="s">
        <v>14</v>
      </c>
    </row>
    <row r="25" spans="1:20" x14ac:dyDescent="0.3">
      <c r="A25" s="78" t="s">
        <v>99</v>
      </c>
      <c r="B25" s="62">
        <v>79</v>
      </c>
      <c r="C25" s="62" t="s">
        <v>29</v>
      </c>
      <c r="D25" s="63" t="s">
        <v>65</v>
      </c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62" t="s">
        <v>14</v>
      </c>
    </row>
    <row r="26" spans="1:20" x14ac:dyDescent="0.3">
      <c r="A26" s="78" t="s">
        <v>99</v>
      </c>
      <c r="B26" s="62">
        <v>80</v>
      </c>
      <c r="C26" s="62" t="s">
        <v>30</v>
      </c>
      <c r="D26" s="62">
        <v>0</v>
      </c>
      <c r="E26" s="62">
        <v>0</v>
      </c>
      <c r="F26" s="62">
        <v>1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4" t="s">
        <v>14</v>
      </c>
    </row>
    <row r="27" spans="1:20" x14ac:dyDescent="0.3">
      <c r="A27" s="78" t="s">
        <v>99</v>
      </c>
      <c r="B27" s="62">
        <v>81</v>
      </c>
      <c r="C27" s="62" t="s">
        <v>31</v>
      </c>
      <c r="D27" s="62">
        <v>0</v>
      </c>
      <c r="E27" s="62">
        <v>1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4" t="s">
        <v>14</v>
      </c>
    </row>
    <row r="28" spans="1:20" x14ac:dyDescent="0.3">
      <c r="A28" s="78" t="s">
        <v>99</v>
      </c>
      <c r="B28" s="62">
        <v>82</v>
      </c>
      <c r="C28" s="62" t="s">
        <v>32</v>
      </c>
      <c r="D28" s="62">
        <v>0</v>
      </c>
      <c r="E28" s="62">
        <v>3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4" t="s">
        <v>14</v>
      </c>
    </row>
    <row r="29" spans="1:20" x14ac:dyDescent="0.3">
      <c r="B29" s="68" t="s">
        <v>20</v>
      </c>
      <c r="C29" s="68" t="s">
        <v>9</v>
      </c>
      <c r="D29" s="68">
        <f>SUM(D4:D28)</f>
        <v>2</v>
      </c>
      <c r="E29" s="68">
        <f>SUM(E4:E28)</f>
        <v>16</v>
      </c>
      <c r="F29" s="68">
        <f>SUM(F4:F28)</f>
        <v>64</v>
      </c>
      <c r="G29" s="68">
        <f>SUM(G4:G28)</f>
        <v>4</v>
      </c>
      <c r="H29" s="68">
        <f>SUM(H4:H28)</f>
        <v>1</v>
      </c>
      <c r="I29" s="68">
        <v>0</v>
      </c>
      <c r="J29" s="68">
        <f>SUM(J4:J28)</f>
        <v>2</v>
      </c>
      <c r="K29" s="68">
        <f>SUM(K4:K28)</f>
        <v>7</v>
      </c>
      <c r="L29" s="68">
        <v>0</v>
      </c>
      <c r="M29" s="68">
        <f>SUM(M4:M28)</f>
        <v>9</v>
      </c>
      <c r="N29" s="68">
        <f>SUM(N4:N28)</f>
        <v>1</v>
      </c>
      <c r="O29" s="68">
        <f>SUM(O4:O28)</f>
        <v>2</v>
      </c>
      <c r="P29" s="69">
        <v>0</v>
      </c>
      <c r="Q29" s="70">
        <f>SUM(Q4:Q28)</f>
        <v>2</v>
      </c>
      <c r="R29" s="68">
        <f>SUM(R4:R28)</f>
        <v>0</v>
      </c>
      <c r="S29" s="68">
        <f>SUM(S4:S28)</f>
        <v>1</v>
      </c>
      <c r="T29" s="71"/>
    </row>
    <row r="30" spans="1:20" x14ac:dyDescent="0.3">
      <c r="B30" s="72" t="s">
        <v>20</v>
      </c>
      <c r="C30" s="73" t="s">
        <v>70</v>
      </c>
      <c r="D30" s="105">
        <f>D29/25</f>
        <v>0.08</v>
      </c>
      <c r="E30" s="105">
        <f>E29/25</f>
        <v>0.64</v>
      </c>
      <c r="F30" s="105">
        <f>F29/25</f>
        <v>2.56</v>
      </c>
      <c r="G30" s="105">
        <f>G29/25</f>
        <v>0.16</v>
      </c>
      <c r="H30" s="105">
        <f>H29/25</f>
        <v>0.04</v>
      </c>
      <c r="I30" s="105" t="s">
        <v>20</v>
      </c>
      <c r="J30" s="105">
        <f>J29/25</f>
        <v>0.08</v>
      </c>
      <c r="K30" s="105">
        <f>K29/25</f>
        <v>0.28000000000000003</v>
      </c>
      <c r="L30" s="105" t="s">
        <v>20</v>
      </c>
      <c r="M30" s="105">
        <f>M29/25</f>
        <v>0.36</v>
      </c>
      <c r="N30" s="105">
        <f>N29/25</f>
        <v>0.04</v>
      </c>
      <c r="O30" s="105">
        <f>O29/25</f>
        <v>0.08</v>
      </c>
      <c r="P30" s="106" t="s">
        <v>20</v>
      </c>
      <c r="Q30" s="107">
        <f>Q29/25</f>
        <v>0.08</v>
      </c>
      <c r="R30" s="105" t="s">
        <v>20</v>
      </c>
      <c r="S30" s="105">
        <f>S29/25</f>
        <v>0.04</v>
      </c>
      <c r="T30" s="74"/>
    </row>
    <row r="31" spans="1:20" ht="18" customHeight="1" x14ac:dyDescent="0.3">
      <c r="B31" s="76"/>
      <c r="C31" s="108" t="s">
        <v>73</v>
      </c>
      <c r="D31" s="109">
        <f>2/2</f>
        <v>1</v>
      </c>
      <c r="E31" s="109">
        <f>16/7</f>
        <v>2.2857142857142856</v>
      </c>
      <c r="F31" s="109">
        <f>64/7</f>
        <v>9.1428571428571423</v>
      </c>
      <c r="G31" s="109">
        <f>4/3</f>
        <v>1.3333333333333333</v>
      </c>
      <c r="H31" s="109">
        <v>1</v>
      </c>
      <c r="I31" s="109"/>
      <c r="J31" s="109">
        <v>1</v>
      </c>
      <c r="K31" s="109">
        <f>7/4</f>
        <v>1.75</v>
      </c>
      <c r="L31" s="109"/>
      <c r="M31" s="105">
        <f>9/7</f>
        <v>1.2857142857142858</v>
      </c>
      <c r="N31" s="105">
        <v>1</v>
      </c>
      <c r="O31" s="105">
        <f>2/2</f>
        <v>1</v>
      </c>
      <c r="P31" s="109"/>
      <c r="Q31" s="109">
        <v>1</v>
      </c>
      <c r="R31" s="109"/>
      <c r="S31" s="109">
        <v>1</v>
      </c>
      <c r="T31" s="76"/>
    </row>
    <row r="32" spans="1:20" x14ac:dyDescent="0.3">
      <c r="B32" s="79"/>
      <c r="C32" s="152" t="s">
        <v>97</v>
      </c>
      <c r="D32" s="152">
        <f>2/25*100</f>
        <v>8</v>
      </c>
      <c r="E32" s="76"/>
      <c r="F32" s="76"/>
      <c r="G32" s="76"/>
      <c r="H32" s="76"/>
      <c r="I32" s="76"/>
      <c r="J32" s="76"/>
      <c r="K32" s="76"/>
      <c r="L32" s="75"/>
      <c r="M32" s="75"/>
      <c r="N32" s="75"/>
      <c r="O32" s="76"/>
      <c r="P32" s="76"/>
      <c r="Q32" s="76"/>
      <c r="R32" s="76"/>
      <c r="S32" s="76"/>
    </row>
    <row r="33" spans="2:20" x14ac:dyDescent="0.3">
      <c r="B33" s="79"/>
      <c r="C33" s="76"/>
      <c r="D33" s="76"/>
      <c r="E33" s="76"/>
      <c r="F33" s="76"/>
      <c r="G33" s="76"/>
      <c r="H33" s="76"/>
      <c r="I33" s="76"/>
      <c r="J33" s="76"/>
      <c r="K33" s="76"/>
      <c r="L33" s="75"/>
      <c r="M33" s="75"/>
      <c r="N33" s="75"/>
      <c r="O33" s="76"/>
      <c r="P33" s="76"/>
      <c r="Q33" s="76"/>
      <c r="R33" s="76"/>
      <c r="S33" s="76"/>
    </row>
    <row r="34" spans="2:20" x14ac:dyDescent="0.3">
      <c r="B34" s="79"/>
      <c r="C34" s="76"/>
      <c r="D34" s="76"/>
      <c r="E34" s="76"/>
      <c r="F34" s="76"/>
      <c r="G34" s="76"/>
      <c r="H34" s="76"/>
      <c r="I34" s="76"/>
      <c r="J34" s="76"/>
      <c r="K34" s="76"/>
      <c r="L34" s="75"/>
      <c r="M34" s="75"/>
      <c r="N34" s="75"/>
      <c r="O34" s="76"/>
      <c r="P34" s="76"/>
      <c r="Q34" s="76"/>
      <c r="R34" s="76"/>
      <c r="S34" s="76"/>
    </row>
    <row r="35" spans="2:20" x14ac:dyDescent="0.3">
      <c r="B35" s="79"/>
      <c r="C35" s="76"/>
      <c r="D35" s="76"/>
      <c r="E35" s="76"/>
      <c r="F35" s="76"/>
      <c r="G35" s="76"/>
      <c r="H35" s="76"/>
      <c r="I35" s="76"/>
      <c r="J35" s="76"/>
      <c r="K35" s="76"/>
      <c r="L35" s="75"/>
      <c r="M35" s="75"/>
      <c r="N35" s="75"/>
      <c r="O35" s="76"/>
      <c r="P35" s="76"/>
      <c r="Q35" s="76"/>
      <c r="R35" s="76"/>
      <c r="S35" s="76"/>
    </row>
    <row r="36" spans="2:20" x14ac:dyDescent="0.3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5"/>
      <c r="N36" s="75"/>
      <c r="O36" s="75"/>
      <c r="P36" s="76"/>
      <c r="Q36" s="76"/>
      <c r="R36" s="76"/>
      <c r="S36" s="76"/>
      <c r="T36" s="76"/>
    </row>
  </sheetData>
  <mergeCells count="3">
    <mergeCell ref="D2:F2"/>
    <mergeCell ref="G2:L2"/>
    <mergeCell ref="M2:S2"/>
  </mergeCells>
  <pageMargins left="0.7" right="0.7" top="0.75" bottom="0.75" header="0.3" footer="0.3"/>
  <pageSetup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59999389629810485"/>
  </sheetPr>
  <dimension ref="A1:AG37"/>
  <sheetViews>
    <sheetView zoomScale="75" workbookViewId="0">
      <selection activeCell="U4" sqref="U4:U28"/>
    </sheetView>
  </sheetViews>
  <sheetFormatPr defaultColWidth="8.765625" defaultRowHeight="12.45" x14ac:dyDescent="0.3"/>
  <cols>
    <col min="2" max="2" width="4.69140625" style="1" customWidth="1"/>
    <col min="3" max="3" width="16" style="3" customWidth="1"/>
    <col min="4" max="4" width="6.07421875" customWidth="1"/>
    <col min="5" max="6" width="5.3046875" customWidth="1"/>
    <col min="7" max="7" width="5.3046875" style="1" customWidth="1"/>
    <col min="8" max="12" width="5.3046875" customWidth="1"/>
    <col min="13" max="13" width="5.3046875" style="51" customWidth="1"/>
    <col min="14" max="16" width="5.3046875" customWidth="1"/>
    <col min="17" max="18" width="5.3046875" style="125" customWidth="1"/>
    <col min="20" max="20" width="10.69140625" customWidth="1"/>
    <col min="21" max="32" width="6.07421875" style="17" customWidth="1"/>
    <col min="33" max="33" width="6.07421875" customWidth="1"/>
  </cols>
  <sheetData>
    <row r="1" spans="1:33" s="113" customFormat="1" ht="32.6" customHeight="1" x14ac:dyDescent="0.4">
      <c r="B1" s="113" t="s">
        <v>83</v>
      </c>
      <c r="C1" s="112"/>
      <c r="G1" s="114"/>
      <c r="M1" s="115"/>
      <c r="Q1" s="121"/>
      <c r="R1" s="121"/>
      <c r="S1" s="113" t="s">
        <v>81</v>
      </c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</row>
    <row r="2" spans="1:33" s="3" customFormat="1" ht="28.2" customHeight="1" x14ac:dyDescent="0.4">
      <c r="D2" s="12"/>
      <c r="E2" s="13"/>
      <c r="F2" s="14"/>
      <c r="G2" s="11"/>
      <c r="H2" s="13"/>
      <c r="I2" s="13"/>
      <c r="J2" s="13"/>
      <c r="K2" s="13"/>
      <c r="L2" s="13"/>
      <c r="M2" s="10"/>
      <c r="N2" s="13"/>
      <c r="O2" s="13"/>
      <c r="P2" s="14"/>
      <c r="Q2" s="122"/>
      <c r="R2" s="122"/>
      <c r="U2" s="129"/>
      <c r="V2" s="130"/>
      <c r="W2" s="131"/>
      <c r="X2" s="132"/>
      <c r="Y2" s="130"/>
      <c r="Z2" s="130"/>
      <c r="AA2" s="130"/>
      <c r="AB2" s="130"/>
      <c r="AC2" s="130"/>
      <c r="AD2" s="133"/>
      <c r="AE2" s="130"/>
      <c r="AF2" s="130"/>
      <c r="AG2" s="14"/>
    </row>
    <row r="3" spans="1:33" s="2" customFormat="1" ht="174.45" customHeight="1" x14ac:dyDescent="0.3">
      <c r="A3" s="2" t="s">
        <v>98</v>
      </c>
      <c r="B3" s="20" t="s">
        <v>0</v>
      </c>
      <c r="C3" s="20" t="s">
        <v>25</v>
      </c>
      <c r="D3" s="21" t="s">
        <v>5</v>
      </c>
      <c r="E3" s="21" t="s">
        <v>6</v>
      </c>
      <c r="F3" s="21" t="s">
        <v>1</v>
      </c>
      <c r="G3" s="21" t="s">
        <v>7</v>
      </c>
      <c r="H3" s="21" t="s">
        <v>4</v>
      </c>
      <c r="I3" s="21" t="s">
        <v>3</v>
      </c>
      <c r="J3" s="22" t="s">
        <v>2</v>
      </c>
      <c r="K3" s="21" t="s">
        <v>59</v>
      </c>
      <c r="L3" s="22" t="s">
        <v>60</v>
      </c>
      <c r="M3" s="22" t="s">
        <v>18</v>
      </c>
      <c r="N3" s="21" t="s">
        <v>12</v>
      </c>
      <c r="O3" s="21" t="s">
        <v>57</v>
      </c>
      <c r="P3" s="21" t="s">
        <v>13</v>
      </c>
      <c r="Q3" s="123"/>
      <c r="R3" s="123" t="s">
        <v>98</v>
      </c>
      <c r="S3" s="20" t="s">
        <v>0</v>
      </c>
      <c r="T3" s="20" t="s">
        <v>25</v>
      </c>
      <c r="U3" s="134" t="s">
        <v>5</v>
      </c>
      <c r="V3" s="134" t="s">
        <v>6</v>
      </c>
      <c r="W3" s="134" t="s">
        <v>1</v>
      </c>
      <c r="X3" s="134" t="s">
        <v>7</v>
      </c>
      <c r="Y3" s="134" t="s">
        <v>4</v>
      </c>
      <c r="Z3" s="134" t="s">
        <v>3</v>
      </c>
      <c r="AA3" s="135" t="s">
        <v>2</v>
      </c>
      <c r="AB3" s="134" t="s">
        <v>59</v>
      </c>
      <c r="AC3" s="135" t="s">
        <v>60</v>
      </c>
      <c r="AD3" s="135" t="s">
        <v>18</v>
      </c>
      <c r="AE3" s="134" t="s">
        <v>12</v>
      </c>
      <c r="AF3" s="134" t="s">
        <v>57</v>
      </c>
      <c r="AG3" s="21" t="s">
        <v>13</v>
      </c>
    </row>
    <row r="4" spans="1:33" x14ac:dyDescent="0.3">
      <c r="A4" s="78" t="s">
        <v>99</v>
      </c>
      <c r="B4" s="24">
        <v>30</v>
      </c>
      <c r="C4" s="24" t="s">
        <v>42</v>
      </c>
      <c r="D4" s="24">
        <f>0</f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6" t="s">
        <v>14</v>
      </c>
      <c r="Q4" s="124"/>
      <c r="R4" s="78" t="s">
        <v>99</v>
      </c>
      <c r="S4" s="24">
        <v>30</v>
      </c>
      <c r="T4" s="24" t="s">
        <v>42</v>
      </c>
      <c r="U4" s="136">
        <f>D4/0.35</f>
        <v>0</v>
      </c>
      <c r="V4" s="136">
        <f t="shared" ref="V4:AF4" si="0">E4/0.35</f>
        <v>0</v>
      </c>
      <c r="W4" s="136">
        <f t="shared" si="0"/>
        <v>0</v>
      </c>
      <c r="X4" s="136">
        <f t="shared" si="0"/>
        <v>0</v>
      </c>
      <c r="Y4" s="136">
        <f t="shared" si="0"/>
        <v>0</v>
      </c>
      <c r="Z4" s="136">
        <f t="shared" si="0"/>
        <v>0</v>
      </c>
      <c r="AA4" s="136">
        <f t="shared" si="0"/>
        <v>0</v>
      </c>
      <c r="AB4" s="136">
        <f t="shared" si="0"/>
        <v>0</v>
      </c>
      <c r="AC4" s="136">
        <f t="shared" si="0"/>
        <v>0</v>
      </c>
      <c r="AD4" s="136">
        <f t="shared" si="0"/>
        <v>0</v>
      </c>
      <c r="AE4" s="136">
        <f t="shared" si="0"/>
        <v>0</v>
      </c>
      <c r="AF4" s="136">
        <f t="shared" si="0"/>
        <v>0</v>
      </c>
      <c r="AG4" s="26" t="s">
        <v>14</v>
      </c>
    </row>
    <row r="5" spans="1:33" x14ac:dyDescent="0.3">
      <c r="A5" s="78" t="s">
        <v>99</v>
      </c>
      <c r="B5" s="24">
        <v>38</v>
      </c>
      <c r="C5" s="24" t="s">
        <v>43</v>
      </c>
      <c r="D5" s="24">
        <v>3</v>
      </c>
      <c r="E5" s="24">
        <v>5</v>
      </c>
      <c r="F5" s="24">
        <v>2</v>
      </c>
      <c r="G5" s="24">
        <v>1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6" t="s">
        <v>14</v>
      </c>
      <c r="R5" s="78" t="s">
        <v>99</v>
      </c>
      <c r="S5" s="24">
        <v>38</v>
      </c>
      <c r="T5" s="24" t="s">
        <v>43</v>
      </c>
      <c r="U5" s="136">
        <f t="shared" ref="U5:U20" si="1">D5/0.35</f>
        <v>8.5714285714285712</v>
      </c>
      <c r="V5" s="136">
        <f t="shared" ref="V5:V21" si="2">E5/0.35</f>
        <v>14.285714285714286</v>
      </c>
      <c r="W5" s="136">
        <f t="shared" ref="W5:W21" si="3">F5/0.35</f>
        <v>5.7142857142857144</v>
      </c>
      <c r="X5" s="136">
        <f t="shared" ref="X5:X21" si="4">G5/0.35</f>
        <v>2.8571428571428572</v>
      </c>
      <c r="Y5" s="136">
        <f t="shared" ref="Y5:Y21" si="5">H5/0.35</f>
        <v>0</v>
      </c>
      <c r="Z5" s="136">
        <f t="shared" ref="Z5:Z21" si="6">I5/0.35</f>
        <v>0</v>
      </c>
      <c r="AA5" s="136">
        <f t="shared" ref="AA5:AA21" si="7">J5/0.35</f>
        <v>0</v>
      </c>
      <c r="AB5" s="136">
        <f t="shared" ref="AB5:AB21" si="8">K5/0.35</f>
        <v>0</v>
      </c>
      <c r="AC5" s="136">
        <f t="shared" ref="AC5:AC21" si="9">L5/0.35</f>
        <v>0</v>
      </c>
      <c r="AD5" s="136">
        <f t="shared" ref="AD5:AD21" si="10">M5/0.35</f>
        <v>0</v>
      </c>
      <c r="AE5" s="136">
        <f t="shared" ref="AE5:AE21" si="11">N5/0.35</f>
        <v>0</v>
      </c>
      <c r="AF5" s="136">
        <f t="shared" ref="AF5:AF21" si="12">O5/0.35</f>
        <v>0</v>
      </c>
      <c r="AG5" s="26" t="s">
        <v>14</v>
      </c>
    </row>
    <row r="6" spans="1:33" x14ac:dyDescent="0.3">
      <c r="A6" s="78" t="s">
        <v>99</v>
      </c>
      <c r="B6" s="24">
        <v>58</v>
      </c>
      <c r="C6" s="24" t="s">
        <v>44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6" t="s">
        <v>14</v>
      </c>
      <c r="R6" s="78" t="s">
        <v>99</v>
      </c>
      <c r="S6" s="24">
        <v>58</v>
      </c>
      <c r="T6" s="24" t="s">
        <v>44</v>
      </c>
      <c r="U6" s="136">
        <f t="shared" si="1"/>
        <v>0</v>
      </c>
      <c r="V6" s="136">
        <f t="shared" si="2"/>
        <v>0</v>
      </c>
      <c r="W6" s="136">
        <f t="shared" si="3"/>
        <v>0</v>
      </c>
      <c r="X6" s="136">
        <f t="shared" si="4"/>
        <v>0</v>
      </c>
      <c r="Y6" s="136">
        <f t="shared" si="5"/>
        <v>0</v>
      </c>
      <c r="Z6" s="136">
        <f t="shared" si="6"/>
        <v>0</v>
      </c>
      <c r="AA6" s="136">
        <f t="shared" si="7"/>
        <v>0</v>
      </c>
      <c r="AB6" s="136">
        <f t="shared" si="8"/>
        <v>0</v>
      </c>
      <c r="AC6" s="136">
        <f t="shared" si="9"/>
        <v>0</v>
      </c>
      <c r="AD6" s="136">
        <f t="shared" si="10"/>
        <v>0</v>
      </c>
      <c r="AE6" s="136">
        <f t="shared" si="11"/>
        <v>0</v>
      </c>
      <c r="AF6" s="136">
        <f t="shared" si="12"/>
        <v>0</v>
      </c>
      <c r="AG6" s="26" t="s">
        <v>14</v>
      </c>
    </row>
    <row r="7" spans="1:33" x14ac:dyDescent="0.3">
      <c r="A7" s="78" t="s">
        <v>99</v>
      </c>
      <c r="B7" s="24">
        <v>61</v>
      </c>
      <c r="C7" s="24" t="s">
        <v>45</v>
      </c>
      <c r="D7" s="24">
        <v>0</v>
      </c>
      <c r="E7" s="24">
        <v>0</v>
      </c>
      <c r="F7" s="24">
        <v>3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6" t="s">
        <v>14</v>
      </c>
      <c r="R7" s="78" t="s">
        <v>99</v>
      </c>
      <c r="S7" s="24">
        <v>61</v>
      </c>
      <c r="T7" s="24" t="s">
        <v>45</v>
      </c>
      <c r="U7" s="136">
        <f t="shared" si="1"/>
        <v>0</v>
      </c>
      <c r="V7" s="136">
        <f t="shared" si="2"/>
        <v>0</v>
      </c>
      <c r="W7" s="136">
        <f t="shared" si="3"/>
        <v>8.5714285714285712</v>
      </c>
      <c r="X7" s="136">
        <f t="shared" si="4"/>
        <v>2.8571428571428572</v>
      </c>
      <c r="Y7" s="136">
        <f t="shared" si="5"/>
        <v>0</v>
      </c>
      <c r="Z7" s="136">
        <f t="shared" si="6"/>
        <v>0</v>
      </c>
      <c r="AA7" s="136">
        <f t="shared" si="7"/>
        <v>0</v>
      </c>
      <c r="AB7" s="136">
        <f t="shared" si="8"/>
        <v>0</v>
      </c>
      <c r="AC7" s="136">
        <f t="shared" si="9"/>
        <v>0</v>
      </c>
      <c r="AD7" s="136">
        <f t="shared" si="10"/>
        <v>0</v>
      </c>
      <c r="AE7" s="136">
        <f t="shared" si="11"/>
        <v>0</v>
      </c>
      <c r="AF7" s="136">
        <f t="shared" si="12"/>
        <v>0</v>
      </c>
      <c r="AG7" s="26" t="s">
        <v>14</v>
      </c>
    </row>
    <row r="8" spans="1:33" x14ac:dyDescent="0.3">
      <c r="A8" s="78" t="s">
        <v>99</v>
      </c>
      <c r="B8" s="24">
        <v>62</v>
      </c>
      <c r="C8" s="24" t="s">
        <v>46</v>
      </c>
      <c r="D8" s="24">
        <v>0</v>
      </c>
      <c r="E8" s="24">
        <v>2</v>
      </c>
      <c r="F8" s="24">
        <v>0</v>
      </c>
      <c r="G8" s="24">
        <v>2</v>
      </c>
      <c r="H8" s="24">
        <v>0</v>
      </c>
      <c r="I8" s="24">
        <v>0</v>
      </c>
      <c r="J8" s="24">
        <v>0</v>
      </c>
      <c r="K8" s="25">
        <v>1</v>
      </c>
      <c r="L8" s="24">
        <v>0</v>
      </c>
      <c r="M8" s="24">
        <v>0</v>
      </c>
      <c r="N8" s="24">
        <v>0</v>
      </c>
      <c r="O8" s="24">
        <v>0</v>
      </c>
      <c r="P8" s="26" t="s">
        <v>14</v>
      </c>
      <c r="R8" s="78" t="s">
        <v>99</v>
      </c>
      <c r="S8" s="24">
        <v>62</v>
      </c>
      <c r="T8" s="24" t="s">
        <v>46</v>
      </c>
      <c r="U8" s="136">
        <f t="shared" si="1"/>
        <v>0</v>
      </c>
      <c r="V8" s="136">
        <f t="shared" si="2"/>
        <v>5.7142857142857144</v>
      </c>
      <c r="W8" s="136">
        <f t="shared" si="3"/>
        <v>0</v>
      </c>
      <c r="X8" s="136">
        <f t="shared" si="4"/>
        <v>5.7142857142857144</v>
      </c>
      <c r="Y8" s="136">
        <f t="shared" si="5"/>
        <v>0</v>
      </c>
      <c r="Z8" s="136">
        <f t="shared" si="6"/>
        <v>0</v>
      </c>
      <c r="AA8" s="136">
        <f t="shared" si="7"/>
        <v>0</v>
      </c>
      <c r="AB8" s="136">
        <f t="shared" si="8"/>
        <v>2.8571428571428572</v>
      </c>
      <c r="AC8" s="136">
        <f t="shared" si="9"/>
        <v>0</v>
      </c>
      <c r="AD8" s="136">
        <f t="shared" si="10"/>
        <v>0</v>
      </c>
      <c r="AE8" s="136">
        <f t="shared" si="11"/>
        <v>0</v>
      </c>
      <c r="AF8" s="136">
        <f t="shared" si="12"/>
        <v>0</v>
      </c>
      <c r="AG8" s="26" t="s">
        <v>14</v>
      </c>
    </row>
    <row r="9" spans="1:33" x14ac:dyDescent="0.3">
      <c r="A9" s="78" t="s">
        <v>99</v>
      </c>
      <c r="B9" s="24">
        <v>65</v>
      </c>
      <c r="C9" s="24" t="s">
        <v>47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6" t="s">
        <v>14</v>
      </c>
      <c r="R9" s="78" t="s">
        <v>99</v>
      </c>
      <c r="S9" s="24">
        <v>65</v>
      </c>
      <c r="T9" s="24" t="s">
        <v>47</v>
      </c>
      <c r="U9" s="136">
        <f t="shared" si="1"/>
        <v>0</v>
      </c>
      <c r="V9" s="136">
        <f t="shared" si="2"/>
        <v>0</v>
      </c>
      <c r="W9" s="136">
        <f t="shared" si="3"/>
        <v>0</v>
      </c>
      <c r="X9" s="136">
        <f t="shared" si="4"/>
        <v>0</v>
      </c>
      <c r="Y9" s="136">
        <f t="shared" si="5"/>
        <v>0</v>
      </c>
      <c r="Z9" s="136">
        <f t="shared" si="6"/>
        <v>0</v>
      </c>
      <c r="AA9" s="136">
        <f t="shared" si="7"/>
        <v>0</v>
      </c>
      <c r="AB9" s="136">
        <f t="shared" si="8"/>
        <v>0</v>
      </c>
      <c r="AC9" s="136">
        <f t="shared" si="9"/>
        <v>0</v>
      </c>
      <c r="AD9" s="136">
        <f t="shared" si="10"/>
        <v>0</v>
      </c>
      <c r="AE9" s="136">
        <f t="shared" si="11"/>
        <v>0</v>
      </c>
      <c r="AF9" s="136">
        <f t="shared" si="12"/>
        <v>0</v>
      </c>
      <c r="AG9" s="26" t="s">
        <v>14</v>
      </c>
    </row>
    <row r="10" spans="1:33" x14ac:dyDescent="0.3">
      <c r="A10" s="78" t="s">
        <v>100</v>
      </c>
      <c r="B10" s="24">
        <v>66</v>
      </c>
      <c r="C10" s="24" t="s">
        <v>52</v>
      </c>
      <c r="D10" s="24">
        <v>0</v>
      </c>
      <c r="E10" s="24">
        <v>2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6" t="s">
        <v>14</v>
      </c>
      <c r="R10" s="78" t="s">
        <v>100</v>
      </c>
      <c r="S10" s="24">
        <v>66</v>
      </c>
      <c r="T10" s="24" t="s">
        <v>52</v>
      </c>
      <c r="U10" s="136">
        <f t="shared" si="1"/>
        <v>0</v>
      </c>
      <c r="V10" s="136">
        <f t="shared" si="2"/>
        <v>5.7142857142857144</v>
      </c>
      <c r="W10" s="136">
        <f t="shared" si="3"/>
        <v>0</v>
      </c>
      <c r="X10" s="136">
        <f t="shared" si="4"/>
        <v>0</v>
      </c>
      <c r="Y10" s="136">
        <f t="shared" si="5"/>
        <v>0</v>
      </c>
      <c r="Z10" s="136">
        <f t="shared" si="6"/>
        <v>0</v>
      </c>
      <c r="AA10" s="136">
        <f t="shared" si="7"/>
        <v>0</v>
      </c>
      <c r="AB10" s="136">
        <f t="shared" si="8"/>
        <v>0</v>
      </c>
      <c r="AC10" s="136">
        <f t="shared" si="9"/>
        <v>0</v>
      </c>
      <c r="AD10" s="136">
        <f t="shared" si="10"/>
        <v>0</v>
      </c>
      <c r="AE10" s="136">
        <f t="shared" si="11"/>
        <v>0</v>
      </c>
      <c r="AF10" s="136">
        <f t="shared" si="12"/>
        <v>0</v>
      </c>
      <c r="AG10" s="26" t="s">
        <v>14</v>
      </c>
    </row>
    <row r="11" spans="1:33" x14ac:dyDescent="0.3">
      <c r="A11" s="78" t="s">
        <v>100</v>
      </c>
      <c r="B11" s="24">
        <v>69</v>
      </c>
      <c r="C11" s="24" t="s">
        <v>33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6" t="s">
        <v>14</v>
      </c>
      <c r="R11" s="78" t="s">
        <v>100</v>
      </c>
      <c r="S11" s="24">
        <v>69</v>
      </c>
      <c r="T11" s="24" t="s">
        <v>33</v>
      </c>
      <c r="U11" s="136">
        <f t="shared" si="1"/>
        <v>0</v>
      </c>
      <c r="V11" s="136">
        <f t="shared" si="2"/>
        <v>0</v>
      </c>
      <c r="W11" s="136">
        <f t="shared" si="3"/>
        <v>0</v>
      </c>
      <c r="X11" s="136">
        <f t="shared" si="4"/>
        <v>0</v>
      </c>
      <c r="Y11" s="136">
        <f t="shared" si="5"/>
        <v>0</v>
      </c>
      <c r="Z11" s="136">
        <f t="shared" si="6"/>
        <v>0</v>
      </c>
      <c r="AA11" s="136">
        <f t="shared" si="7"/>
        <v>0</v>
      </c>
      <c r="AB11" s="136">
        <f t="shared" si="8"/>
        <v>0</v>
      </c>
      <c r="AC11" s="136">
        <f t="shared" si="9"/>
        <v>0</v>
      </c>
      <c r="AD11" s="136">
        <f t="shared" si="10"/>
        <v>0</v>
      </c>
      <c r="AE11" s="136">
        <f t="shared" si="11"/>
        <v>0</v>
      </c>
      <c r="AF11" s="136">
        <f t="shared" si="12"/>
        <v>0</v>
      </c>
      <c r="AG11" s="26" t="s">
        <v>14</v>
      </c>
    </row>
    <row r="12" spans="1:33" x14ac:dyDescent="0.3">
      <c r="A12" s="78" t="s">
        <v>99</v>
      </c>
      <c r="B12" s="24">
        <v>70</v>
      </c>
      <c r="C12" s="24" t="s">
        <v>27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6" t="s">
        <v>14</v>
      </c>
      <c r="R12" s="78" t="s">
        <v>99</v>
      </c>
      <c r="S12" s="24">
        <v>70</v>
      </c>
      <c r="T12" s="24" t="s">
        <v>27</v>
      </c>
      <c r="U12" s="136">
        <f t="shared" si="1"/>
        <v>0</v>
      </c>
      <c r="V12" s="136">
        <f t="shared" si="2"/>
        <v>0</v>
      </c>
      <c r="W12" s="136">
        <f t="shared" si="3"/>
        <v>0</v>
      </c>
      <c r="X12" s="136">
        <f t="shared" si="4"/>
        <v>0</v>
      </c>
      <c r="Y12" s="136">
        <f t="shared" si="5"/>
        <v>0</v>
      </c>
      <c r="Z12" s="136">
        <f t="shared" si="6"/>
        <v>0</v>
      </c>
      <c r="AA12" s="136">
        <f t="shared" si="7"/>
        <v>0</v>
      </c>
      <c r="AB12" s="136">
        <f t="shared" si="8"/>
        <v>0</v>
      </c>
      <c r="AC12" s="136">
        <f t="shared" si="9"/>
        <v>0</v>
      </c>
      <c r="AD12" s="136">
        <f t="shared" si="10"/>
        <v>0</v>
      </c>
      <c r="AE12" s="136">
        <f t="shared" si="11"/>
        <v>0</v>
      </c>
      <c r="AF12" s="136">
        <f t="shared" si="12"/>
        <v>0</v>
      </c>
      <c r="AG12" s="26" t="s">
        <v>14</v>
      </c>
    </row>
    <row r="13" spans="1:33" x14ac:dyDescent="0.3">
      <c r="A13" s="78" t="s">
        <v>99</v>
      </c>
      <c r="B13" s="24">
        <v>71</v>
      </c>
      <c r="C13" s="24" t="s">
        <v>28</v>
      </c>
      <c r="D13" s="24">
        <v>1</v>
      </c>
      <c r="E13" s="24">
        <v>0</v>
      </c>
      <c r="F13" s="24">
        <v>2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6" t="s">
        <v>14</v>
      </c>
      <c r="R13" s="78" t="s">
        <v>99</v>
      </c>
      <c r="S13" s="24">
        <v>71</v>
      </c>
      <c r="T13" s="24" t="s">
        <v>28</v>
      </c>
      <c r="U13" s="136">
        <f t="shared" si="1"/>
        <v>2.8571428571428572</v>
      </c>
      <c r="V13" s="136">
        <f t="shared" si="2"/>
        <v>0</v>
      </c>
      <c r="W13" s="136">
        <f t="shared" si="3"/>
        <v>5.7142857142857144</v>
      </c>
      <c r="X13" s="136">
        <f t="shared" si="4"/>
        <v>0</v>
      </c>
      <c r="Y13" s="136">
        <f t="shared" si="5"/>
        <v>0</v>
      </c>
      <c r="Z13" s="136">
        <f t="shared" si="6"/>
        <v>0</v>
      </c>
      <c r="AA13" s="136">
        <f t="shared" si="7"/>
        <v>0</v>
      </c>
      <c r="AB13" s="136">
        <f t="shared" si="8"/>
        <v>0</v>
      </c>
      <c r="AC13" s="136">
        <f t="shared" si="9"/>
        <v>0</v>
      </c>
      <c r="AD13" s="136">
        <f t="shared" si="10"/>
        <v>0</v>
      </c>
      <c r="AE13" s="136">
        <f t="shared" si="11"/>
        <v>0</v>
      </c>
      <c r="AF13" s="136">
        <f t="shared" si="12"/>
        <v>0</v>
      </c>
      <c r="AG13" s="26" t="s">
        <v>14</v>
      </c>
    </row>
    <row r="14" spans="1:33" x14ac:dyDescent="0.3">
      <c r="A14" s="78" t="s">
        <v>100</v>
      </c>
      <c r="B14" s="24">
        <v>72</v>
      </c>
      <c r="C14" s="24" t="s">
        <v>34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6" t="s">
        <v>14</v>
      </c>
      <c r="R14" s="78" t="s">
        <v>100</v>
      </c>
      <c r="S14" s="24">
        <v>72</v>
      </c>
      <c r="T14" s="24" t="s">
        <v>34</v>
      </c>
      <c r="U14" s="136">
        <f t="shared" si="1"/>
        <v>0</v>
      </c>
      <c r="V14" s="136">
        <f t="shared" si="2"/>
        <v>0</v>
      </c>
      <c r="W14" s="136">
        <f t="shared" si="3"/>
        <v>0</v>
      </c>
      <c r="X14" s="136">
        <f t="shared" si="4"/>
        <v>0</v>
      </c>
      <c r="Y14" s="136">
        <f t="shared" si="5"/>
        <v>0</v>
      </c>
      <c r="Z14" s="136">
        <f t="shared" si="6"/>
        <v>0</v>
      </c>
      <c r="AA14" s="136">
        <f t="shared" si="7"/>
        <v>0</v>
      </c>
      <c r="AB14" s="136">
        <f t="shared" si="8"/>
        <v>0</v>
      </c>
      <c r="AC14" s="136">
        <f t="shared" si="9"/>
        <v>0</v>
      </c>
      <c r="AD14" s="136">
        <f t="shared" si="10"/>
        <v>0</v>
      </c>
      <c r="AE14" s="136">
        <f t="shared" si="11"/>
        <v>0</v>
      </c>
      <c r="AF14" s="136">
        <f t="shared" si="12"/>
        <v>0</v>
      </c>
      <c r="AG14" s="26" t="s">
        <v>14</v>
      </c>
    </row>
    <row r="15" spans="1:33" x14ac:dyDescent="0.3">
      <c r="A15" s="78" t="s">
        <v>100</v>
      </c>
      <c r="B15" s="24">
        <v>73</v>
      </c>
      <c r="C15" s="24" t="s">
        <v>50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6" t="s">
        <v>14</v>
      </c>
      <c r="R15" s="78" t="s">
        <v>100</v>
      </c>
      <c r="S15" s="24">
        <v>73</v>
      </c>
      <c r="T15" s="24" t="s">
        <v>50</v>
      </c>
      <c r="U15" s="136">
        <f t="shared" si="1"/>
        <v>0</v>
      </c>
      <c r="V15" s="136">
        <f t="shared" si="2"/>
        <v>0</v>
      </c>
      <c r="W15" s="136">
        <f t="shared" si="3"/>
        <v>0</v>
      </c>
      <c r="X15" s="136">
        <f t="shared" si="4"/>
        <v>0</v>
      </c>
      <c r="Y15" s="136">
        <f t="shared" si="5"/>
        <v>0</v>
      </c>
      <c r="Z15" s="136">
        <f t="shared" si="6"/>
        <v>0</v>
      </c>
      <c r="AA15" s="136">
        <f t="shared" si="7"/>
        <v>0</v>
      </c>
      <c r="AB15" s="136">
        <f t="shared" si="8"/>
        <v>0</v>
      </c>
      <c r="AC15" s="136">
        <f t="shared" si="9"/>
        <v>0</v>
      </c>
      <c r="AD15" s="136">
        <f t="shared" si="10"/>
        <v>0</v>
      </c>
      <c r="AE15" s="136">
        <f t="shared" si="11"/>
        <v>0</v>
      </c>
      <c r="AF15" s="136">
        <f t="shared" si="12"/>
        <v>0</v>
      </c>
      <c r="AG15" s="26" t="s">
        <v>14</v>
      </c>
    </row>
    <row r="16" spans="1:33" x14ac:dyDescent="0.3">
      <c r="A16" s="78" t="s">
        <v>100</v>
      </c>
      <c r="B16" s="24">
        <v>74</v>
      </c>
      <c r="C16" s="24" t="s">
        <v>37</v>
      </c>
      <c r="D16" s="24">
        <v>0</v>
      </c>
      <c r="E16" s="24">
        <v>0</v>
      </c>
      <c r="F16" s="24">
        <v>1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6" t="s">
        <v>14</v>
      </c>
      <c r="R16" s="78" t="s">
        <v>100</v>
      </c>
      <c r="S16" s="24">
        <v>74</v>
      </c>
      <c r="T16" s="24" t="s">
        <v>37</v>
      </c>
      <c r="U16" s="136">
        <f t="shared" si="1"/>
        <v>0</v>
      </c>
      <c r="V16" s="136">
        <f t="shared" si="2"/>
        <v>0</v>
      </c>
      <c r="W16" s="136">
        <f t="shared" si="3"/>
        <v>2.8571428571428572</v>
      </c>
      <c r="X16" s="136">
        <f t="shared" si="4"/>
        <v>2.8571428571428572</v>
      </c>
      <c r="Y16" s="136">
        <f t="shared" si="5"/>
        <v>0</v>
      </c>
      <c r="Z16" s="136">
        <f t="shared" si="6"/>
        <v>0</v>
      </c>
      <c r="AA16" s="136">
        <f t="shared" si="7"/>
        <v>0</v>
      </c>
      <c r="AB16" s="136">
        <f t="shared" si="8"/>
        <v>0</v>
      </c>
      <c r="AC16" s="136">
        <f t="shared" si="9"/>
        <v>0</v>
      </c>
      <c r="AD16" s="136">
        <f t="shared" si="10"/>
        <v>0</v>
      </c>
      <c r="AE16" s="136">
        <f t="shared" si="11"/>
        <v>0</v>
      </c>
      <c r="AF16" s="136">
        <f t="shared" si="12"/>
        <v>0</v>
      </c>
      <c r="AG16" s="26" t="s">
        <v>14</v>
      </c>
    </row>
    <row r="17" spans="1:33" x14ac:dyDescent="0.3">
      <c r="A17" s="78" t="s">
        <v>100</v>
      </c>
      <c r="B17" s="24">
        <v>75</v>
      </c>
      <c r="C17" s="24" t="s">
        <v>38</v>
      </c>
      <c r="D17" s="24">
        <v>0</v>
      </c>
      <c r="E17" s="24">
        <v>0</v>
      </c>
      <c r="F17" s="24">
        <v>3</v>
      </c>
      <c r="G17" s="24">
        <v>1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6" t="s">
        <v>14</v>
      </c>
      <c r="R17" s="78" t="s">
        <v>100</v>
      </c>
      <c r="S17" s="24">
        <v>75</v>
      </c>
      <c r="T17" s="24" t="s">
        <v>38</v>
      </c>
      <c r="U17" s="136">
        <f t="shared" si="1"/>
        <v>0</v>
      </c>
      <c r="V17" s="136">
        <f t="shared" si="2"/>
        <v>0</v>
      </c>
      <c r="W17" s="136">
        <f t="shared" si="3"/>
        <v>8.5714285714285712</v>
      </c>
      <c r="X17" s="136">
        <f t="shared" si="4"/>
        <v>2.8571428571428572</v>
      </c>
      <c r="Y17" s="136">
        <f t="shared" si="5"/>
        <v>0</v>
      </c>
      <c r="Z17" s="136">
        <f t="shared" si="6"/>
        <v>0</v>
      </c>
      <c r="AA17" s="136">
        <f t="shared" si="7"/>
        <v>0</v>
      </c>
      <c r="AB17" s="136">
        <f t="shared" si="8"/>
        <v>0</v>
      </c>
      <c r="AC17" s="136">
        <f t="shared" si="9"/>
        <v>0</v>
      </c>
      <c r="AD17" s="136">
        <f t="shared" si="10"/>
        <v>0</v>
      </c>
      <c r="AE17" s="136">
        <f t="shared" si="11"/>
        <v>0</v>
      </c>
      <c r="AF17" s="136">
        <f t="shared" si="12"/>
        <v>0</v>
      </c>
      <c r="AG17" s="26" t="s">
        <v>14</v>
      </c>
    </row>
    <row r="18" spans="1:33" x14ac:dyDescent="0.3">
      <c r="A18" s="78" t="s">
        <v>100</v>
      </c>
      <c r="B18" s="24">
        <v>76</v>
      </c>
      <c r="C18" s="24" t="s">
        <v>39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6" t="s">
        <v>14</v>
      </c>
      <c r="R18" s="78" t="s">
        <v>100</v>
      </c>
      <c r="S18" s="24">
        <v>76</v>
      </c>
      <c r="T18" s="24" t="s">
        <v>39</v>
      </c>
      <c r="U18" s="136">
        <f t="shared" si="1"/>
        <v>0</v>
      </c>
      <c r="V18" s="136">
        <f t="shared" si="2"/>
        <v>0</v>
      </c>
      <c r="W18" s="136">
        <f t="shared" si="3"/>
        <v>0</v>
      </c>
      <c r="X18" s="136">
        <f t="shared" si="4"/>
        <v>0</v>
      </c>
      <c r="Y18" s="136">
        <f t="shared" si="5"/>
        <v>0</v>
      </c>
      <c r="Z18" s="136">
        <f t="shared" si="6"/>
        <v>0</v>
      </c>
      <c r="AA18" s="136">
        <f t="shared" si="7"/>
        <v>0</v>
      </c>
      <c r="AB18" s="136">
        <f t="shared" si="8"/>
        <v>0</v>
      </c>
      <c r="AC18" s="136">
        <f t="shared" si="9"/>
        <v>0</v>
      </c>
      <c r="AD18" s="136">
        <f t="shared" si="10"/>
        <v>0</v>
      </c>
      <c r="AE18" s="136">
        <f t="shared" si="11"/>
        <v>0</v>
      </c>
      <c r="AF18" s="136">
        <f t="shared" si="12"/>
        <v>0</v>
      </c>
      <c r="AG18" s="26" t="s">
        <v>14</v>
      </c>
    </row>
    <row r="19" spans="1:33" x14ac:dyDescent="0.3">
      <c r="A19" s="78" t="s">
        <v>100</v>
      </c>
      <c r="B19" s="24">
        <v>78</v>
      </c>
      <c r="C19" s="24" t="s">
        <v>40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6" t="s">
        <v>14</v>
      </c>
      <c r="R19" s="78" t="s">
        <v>100</v>
      </c>
      <c r="S19" s="24">
        <v>78</v>
      </c>
      <c r="T19" s="24" t="s">
        <v>40</v>
      </c>
      <c r="U19" s="136">
        <f t="shared" si="1"/>
        <v>0</v>
      </c>
      <c r="V19" s="136">
        <f t="shared" si="2"/>
        <v>0</v>
      </c>
      <c r="W19" s="136">
        <f t="shared" si="3"/>
        <v>0</v>
      </c>
      <c r="X19" s="136">
        <f t="shared" si="4"/>
        <v>0</v>
      </c>
      <c r="Y19" s="136">
        <f t="shared" si="5"/>
        <v>0</v>
      </c>
      <c r="Z19" s="136">
        <f t="shared" si="6"/>
        <v>0</v>
      </c>
      <c r="AA19" s="136">
        <f t="shared" si="7"/>
        <v>0</v>
      </c>
      <c r="AB19" s="136">
        <f t="shared" si="8"/>
        <v>0</v>
      </c>
      <c r="AC19" s="136">
        <f t="shared" si="9"/>
        <v>0</v>
      </c>
      <c r="AD19" s="136">
        <f t="shared" si="10"/>
        <v>0</v>
      </c>
      <c r="AE19" s="136">
        <f t="shared" si="11"/>
        <v>0</v>
      </c>
      <c r="AF19" s="136">
        <f t="shared" si="12"/>
        <v>0</v>
      </c>
      <c r="AG19" s="26" t="s">
        <v>14</v>
      </c>
    </row>
    <row r="20" spans="1:33" x14ac:dyDescent="0.3">
      <c r="A20" s="78" t="s">
        <v>99</v>
      </c>
      <c r="B20" s="24">
        <v>79</v>
      </c>
      <c r="C20" s="24" t="s">
        <v>29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6" t="s">
        <v>14</v>
      </c>
      <c r="R20" s="78" t="s">
        <v>99</v>
      </c>
      <c r="S20" s="24">
        <v>79</v>
      </c>
      <c r="T20" s="24" t="s">
        <v>29</v>
      </c>
      <c r="U20" s="136">
        <f t="shared" si="1"/>
        <v>0</v>
      </c>
      <c r="V20" s="136">
        <f t="shared" si="2"/>
        <v>0</v>
      </c>
      <c r="W20" s="136">
        <f t="shared" si="3"/>
        <v>0</v>
      </c>
      <c r="X20" s="136">
        <f t="shared" si="4"/>
        <v>0</v>
      </c>
      <c r="Y20" s="136">
        <f t="shared" si="5"/>
        <v>0</v>
      </c>
      <c r="Z20" s="136">
        <f t="shared" si="6"/>
        <v>0</v>
      </c>
      <c r="AA20" s="136">
        <f t="shared" si="7"/>
        <v>0</v>
      </c>
      <c r="AB20" s="136">
        <f t="shared" si="8"/>
        <v>0</v>
      </c>
      <c r="AC20" s="136">
        <f t="shared" si="9"/>
        <v>0</v>
      </c>
      <c r="AD20" s="136">
        <f t="shared" si="10"/>
        <v>0</v>
      </c>
      <c r="AE20" s="136">
        <f t="shared" si="11"/>
        <v>0</v>
      </c>
      <c r="AF20" s="136">
        <f t="shared" si="12"/>
        <v>0</v>
      </c>
      <c r="AG20" s="26" t="s">
        <v>14</v>
      </c>
    </row>
    <row r="21" spans="1:33" x14ac:dyDescent="0.3">
      <c r="A21" s="78" t="s">
        <v>99</v>
      </c>
      <c r="B21" s="24">
        <v>80</v>
      </c>
      <c r="C21" s="24" t="s">
        <v>30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6" t="s">
        <v>14</v>
      </c>
      <c r="R21" s="78" t="s">
        <v>99</v>
      </c>
      <c r="S21" s="24">
        <v>80</v>
      </c>
      <c r="T21" s="24" t="s">
        <v>30</v>
      </c>
      <c r="U21" s="136">
        <f>D21/0.35</f>
        <v>0</v>
      </c>
      <c r="V21" s="136">
        <f t="shared" si="2"/>
        <v>0</v>
      </c>
      <c r="W21" s="136">
        <f t="shared" si="3"/>
        <v>0</v>
      </c>
      <c r="X21" s="136">
        <f t="shared" si="4"/>
        <v>0</v>
      </c>
      <c r="Y21" s="136">
        <f t="shared" si="5"/>
        <v>0</v>
      </c>
      <c r="Z21" s="136">
        <f t="shared" si="6"/>
        <v>0</v>
      </c>
      <c r="AA21" s="136">
        <f t="shared" si="7"/>
        <v>0</v>
      </c>
      <c r="AB21" s="136">
        <f t="shared" si="8"/>
        <v>0</v>
      </c>
      <c r="AC21" s="136">
        <f t="shared" si="9"/>
        <v>0</v>
      </c>
      <c r="AD21" s="136">
        <f t="shared" si="10"/>
        <v>0</v>
      </c>
      <c r="AE21" s="136">
        <f t="shared" si="11"/>
        <v>0</v>
      </c>
      <c r="AF21" s="136">
        <f t="shared" si="12"/>
        <v>0</v>
      </c>
      <c r="AG21" s="26" t="s">
        <v>14</v>
      </c>
    </row>
    <row r="22" spans="1:33" x14ac:dyDescent="0.3">
      <c r="A22" s="78" t="s">
        <v>99</v>
      </c>
      <c r="B22" s="24">
        <v>81</v>
      </c>
      <c r="C22" s="24" t="s">
        <v>31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6" t="s">
        <v>14</v>
      </c>
      <c r="R22" s="78" t="s">
        <v>99</v>
      </c>
      <c r="S22" s="24">
        <v>81</v>
      </c>
      <c r="T22" s="24" t="s">
        <v>31</v>
      </c>
      <c r="U22" s="136">
        <f t="shared" ref="U22:U28" si="13">D22/0.35</f>
        <v>0</v>
      </c>
      <c r="V22" s="136">
        <f t="shared" ref="V22:V28" si="14">E22/0.35</f>
        <v>0</v>
      </c>
      <c r="W22" s="136">
        <f t="shared" ref="W22:W28" si="15">F22/0.35</f>
        <v>0</v>
      </c>
      <c r="X22" s="136">
        <f t="shared" ref="X22:X28" si="16">G22/0.35</f>
        <v>0</v>
      </c>
      <c r="Y22" s="136">
        <f t="shared" ref="Y22:Y28" si="17">H22/0.35</f>
        <v>0</v>
      </c>
      <c r="Z22" s="136">
        <f t="shared" ref="Z22:Z28" si="18">I22/0.35</f>
        <v>0</v>
      </c>
      <c r="AA22" s="136">
        <f t="shared" ref="AA22:AA28" si="19">J22/0.35</f>
        <v>0</v>
      </c>
      <c r="AB22" s="136">
        <f t="shared" ref="AB22:AB28" si="20">K22/0.35</f>
        <v>0</v>
      </c>
      <c r="AC22" s="136">
        <f t="shared" ref="AC22:AC28" si="21">L22/0.35</f>
        <v>0</v>
      </c>
      <c r="AD22" s="136">
        <f t="shared" ref="AD22:AD28" si="22">M22/0.35</f>
        <v>0</v>
      </c>
      <c r="AE22" s="136">
        <f t="shared" ref="AE22:AE28" si="23">N22/0.35</f>
        <v>0</v>
      </c>
      <c r="AF22" s="136">
        <f t="shared" ref="AF22:AF28" si="24">O22/0.35</f>
        <v>0</v>
      </c>
      <c r="AG22" s="26" t="s">
        <v>14</v>
      </c>
    </row>
    <row r="23" spans="1:33" x14ac:dyDescent="0.3">
      <c r="A23" s="78" t="s">
        <v>99</v>
      </c>
      <c r="B23" s="24">
        <v>82</v>
      </c>
      <c r="C23" s="24" t="s">
        <v>32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6" t="s">
        <v>14</v>
      </c>
      <c r="R23" s="78" t="s">
        <v>99</v>
      </c>
      <c r="S23" s="24">
        <v>82</v>
      </c>
      <c r="T23" s="24" t="s">
        <v>32</v>
      </c>
      <c r="U23" s="136">
        <f t="shared" si="13"/>
        <v>0</v>
      </c>
      <c r="V23" s="136">
        <f t="shared" si="14"/>
        <v>0</v>
      </c>
      <c r="W23" s="136">
        <f t="shared" si="15"/>
        <v>0</v>
      </c>
      <c r="X23" s="136">
        <f t="shared" si="16"/>
        <v>0</v>
      </c>
      <c r="Y23" s="136">
        <f t="shared" si="17"/>
        <v>0</v>
      </c>
      <c r="Z23" s="136">
        <f t="shared" si="18"/>
        <v>0</v>
      </c>
      <c r="AA23" s="136">
        <f t="shared" si="19"/>
        <v>0</v>
      </c>
      <c r="AB23" s="136">
        <f t="shared" si="20"/>
        <v>0</v>
      </c>
      <c r="AC23" s="136">
        <f t="shared" si="21"/>
        <v>0</v>
      </c>
      <c r="AD23" s="136">
        <f t="shared" si="22"/>
        <v>0</v>
      </c>
      <c r="AE23" s="136">
        <f t="shared" si="23"/>
        <v>0</v>
      </c>
      <c r="AF23" s="136">
        <f t="shared" si="24"/>
        <v>0</v>
      </c>
      <c r="AG23" s="26" t="s">
        <v>14</v>
      </c>
    </row>
    <row r="24" spans="1:33" x14ac:dyDescent="0.3">
      <c r="A24" s="78" t="s">
        <v>100</v>
      </c>
      <c r="B24" s="24">
        <v>83</v>
      </c>
      <c r="C24" s="24" t="s">
        <v>26</v>
      </c>
      <c r="D24" s="24">
        <v>0</v>
      </c>
      <c r="E24" s="24">
        <v>6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6" t="s">
        <v>14</v>
      </c>
      <c r="R24" s="78" t="s">
        <v>100</v>
      </c>
      <c r="S24" s="24">
        <v>83</v>
      </c>
      <c r="T24" s="24" t="s">
        <v>26</v>
      </c>
      <c r="U24" s="136">
        <f t="shared" si="13"/>
        <v>0</v>
      </c>
      <c r="V24" s="136">
        <f t="shared" si="14"/>
        <v>17.142857142857142</v>
      </c>
      <c r="W24" s="136">
        <f t="shared" si="15"/>
        <v>0</v>
      </c>
      <c r="X24" s="136">
        <f t="shared" si="16"/>
        <v>0</v>
      </c>
      <c r="Y24" s="136">
        <f t="shared" si="17"/>
        <v>0</v>
      </c>
      <c r="Z24" s="136">
        <f t="shared" si="18"/>
        <v>0</v>
      </c>
      <c r="AA24" s="136">
        <f t="shared" si="19"/>
        <v>0</v>
      </c>
      <c r="AB24" s="136">
        <f t="shared" si="20"/>
        <v>0</v>
      </c>
      <c r="AC24" s="136">
        <f t="shared" si="21"/>
        <v>0</v>
      </c>
      <c r="AD24" s="136">
        <f t="shared" si="22"/>
        <v>0</v>
      </c>
      <c r="AE24" s="136">
        <f t="shared" si="23"/>
        <v>0</v>
      </c>
      <c r="AF24" s="136">
        <f t="shared" si="24"/>
        <v>0</v>
      </c>
      <c r="AG24" s="26" t="s">
        <v>14</v>
      </c>
    </row>
    <row r="25" spans="1:33" x14ac:dyDescent="0.3">
      <c r="A25" s="78" t="s">
        <v>100</v>
      </c>
      <c r="B25" s="24">
        <v>84</v>
      </c>
      <c r="C25" s="24" t="s">
        <v>41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6" t="s">
        <v>14</v>
      </c>
      <c r="R25" s="78" t="s">
        <v>100</v>
      </c>
      <c r="S25" s="24">
        <v>84</v>
      </c>
      <c r="T25" s="24" t="s">
        <v>41</v>
      </c>
      <c r="U25" s="136">
        <f t="shared" si="13"/>
        <v>0</v>
      </c>
      <c r="V25" s="136">
        <f t="shared" si="14"/>
        <v>0</v>
      </c>
      <c r="W25" s="136">
        <f t="shared" si="15"/>
        <v>0</v>
      </c>
      <c r="X25" s="136">
        <f t="shared" si="16"/>
        <v>0</v>
      </c>
      <c r="Y25" s="136">
        <f t="shared" si="17"/>
        <v>0</v>
      </c>
      <c r="Z25" s="136">
        <f t="shared" si="18"/>
        <v>0</v>
      </c>
      <c r="AA25" s="136">
        <f t="shared" si="19"/>
        <v>0</v>
      </c>
      <c r="AB25" s="136">
        <f t="shared" si="20"/>
        <v>0</v>
      </c>
      <c r="AC25" s="136">
        <f t="shared" si="21"/>
        <v>0</v>
      </c>
      <c r="AD25" s="136">
        <f t="shared" si="22"/>
        <v>0</v>
      </c>
      <c r="AE25" s="136">
        <f t="shared" si="23"/>
        <v>0</v>
      </c>
      <c r="AF25" s="136">
        <f t="shared" si="24"/>
        <v>0</v>
      </c>
      <c r="AG25" s="26" t="s">
        <v>14</v>
      </c>
    </row>
    <row r="26" spans="1:33" x14ac:dyDescent="0.3">
      <c r="A26" s="78" t="s">
        <v>100</v>
      </c>
      <c r="B26" s="24">
        <v>85</v>
      </c>
      <c r="C26" s="24" t="s">
        <v>48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6" t="s">
        <v>14</v>
      </c>
      <c r="R26" s="78" t="s">
        <v>100</v>
      </c>
      <c r="S26" s="24">
        <v>85</v>
      </c>
      <c r="T26" s="24" t="s">
        <v>48</v>
      </c>
      <c r="U26" s="136">
        <f t="shared" si="13"/>
        <v>0</v>
      </c>
      <c r="V26" s="136">
        <f t="shared" si="14"/>
        <v>0</v>
      </c>
      <c r="W26" s="136">
        <f t="shared" si="15"/>
        <v>0</v>
      </c>
      <c r="X26" s="136">
        <f t="shared" si="16"/>
        <v>0</v>
      </c>
      <c r="Y26" s="136">
        <f t="shared" si="17"/>
        <v>0</v>
      </c>
      <c r="Z26" s="136">
        <f t="shared" si="18"/>
        <v>0</v>
      </c>
      <c r="AA26" s="136">
        <f t="shared" si="19"/>
        <v>0</v>
      </c>
      <c r="AB26" s="136">
        <f t="shared" si="20"/>
        <v>0</v>
      </c>
      <c r="AC26" s="136">
        <f t="shared" si="21"/>
        <v>0</v>
      </c>
      <c r="AD26" s="136">
        <f t="shared" si="22"/>
        <v>0</v>
      </c>
      <c r="AE26" s="136">
        <f t="shared" si="23"/>
        <v>0</v>
      </c>
      <c r="AF26" s="136">
        <f t="shared" si="24"/>
        <v>0</v>
      </c>
      <c r="AG26" s="26" t="s">
        <v>14</v>
      </c>
    </row>
    <row r="27" spans="1:33" x14ac:dyDescent="0.3">
      <c r="A27" s="78" t="s">
        <v>100</v>
      </c>
      <c r="B27" s="24">
        <v>86</v>
      </c>
      <c r="C27" s="24" t="s">
        <v>35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6" t="s">
        <v>14</v>
      </c>
      <c r="R27" s="78" t="s">
        <v>100</v>
      </c>
      <c r="S27" s="24">
        <v>86</v>
      </c>
      <c r="T27" s="24" t="s">
        <v>35</v>
      </c>
      <c r="U27" s="136">
        <f t="shared" si="13"/>
        <v>0</v>
      </c>
      <c r="V27" s="136">
        <f t="shared" si="14"/>
        <v>0</v>
      </c>
      <c r="W27" s="136">
        <f t="shared" si="15"/>
        <v>0</v>
      </c>
      <c r="X27" s="136">
        <f t="shared" si="16"/>
        <v>0</v>
      </c>
      <c r="Y27" s="136">
        <f t="shared" si="17"/>
        <v>0</v>
      </c>
      <c r="Z27" s="136">
        <f t="shared" si="18"/>
        <v>0</v>
      </c>
      <c r="AA27" s="136">
        <f t="shared" si="19"/>
        <v>0</v>
      </c>
      <c r="AB27" s="136">
        <f t="shared" si="20"/>
        <v>0</v>
      </c>
      <c r="AC27" s="136">
        <f t="shared" si="21"/>
        <v>0</v>
      </c>
      <c r="AD27" s="136">
        <f t="shared" si="22"/>
        <v>0</v>
      </c>
      <c r="AE27" s="136">
        <f t="shared" si="23"/>
        <v>0</v>
      </c>
      <c r="AF27" s="136">
        <f t="shared" si="24"/>
        <v>0</v>
      </c>
      <c r="AG27" s="26" t="s">
        <v>14</v>
      </c>
    </row>
    <row r="28" spans="1:33" x14ac:dyDescent="0.3">
      <c r="A28" s="78" t="s">
        <v>100</v>
      </c>
      <c r="B28" s="24">
        <v>87</v>
      </c>
      <c r="C28" s="24" t="s">
        <v>36</v>
      </c>
      <c r="D28" s="24">
        <v>0</v>
      </c>
      <c r="E28" s="26">
        <v>25</v>
      </c>
      <c r="F28" s="26">
        <v>3</v>
      </c>
      <c r="G28" s="26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6" t="s">
        <v>14</v>
      </c>
      <c r="R28" s="78" t="s">
        <v>100</v>
      </c>
      <c r="S28" s="24">
        <v>87</v>
      </c>
      <c r="T28" s="24" t="s">
        <v>36</v>
      </c>
      <c r="U28" s="136">
        <f t="shared" si="13"/>
        <v>0</v>
      </c>
      <c r="V28" s="136">
        <f t="shared" si="14"/>
        <v>71.428571428571431</v>
      </c>
      <c r="W28" s="136">
        <f t="shared" si="15"/>
        <v>8.5714285714285712</v>
      </c>
      <c r="X28" s="136">
        <f t="shared" si="16"/>
        <v>0</v>
      </c>
      <c r="Y28" s="136">
        <f t="shared" si="17"/>
        <v>0</v>
      </c>
      <c r="Z28" s="136">
        <f t="shared" si="18"/>
        <v>0</v>
      </c>
      <c r="AA28" s="136">
        <f t="shared" si="19"/>
        <v>0</v>
      </c>
      <c r="AB28" s="136">
        <f t="shared" si="20"/>
        <v>0</v>
      </c>
      <c r="AC28" s="136">
        <f t="shared" si="21"/>
        <v>0</v>
      </c>
      <c r="AD28" s="136">
        <f t="shared" si="22"/>
        <v>0</v>
      </c>
      <c r="AE28" s="136">
        <f t="shared" si="23"/>
        <v>0</v>
      </c>
      <c r="AF28" s="136">
        <f t="shared" si="24"/>
        <v>0</v>
      </c>
      <c r="AG28" s="26" t="s">
        <v>14</v>
      </c>
    </row>
    <row r="29" spans="1:33" x14ac:dyDescent="0.3">
      <c r="B29" s="33" t="s">
        <v>20</v>
      </c>
      <c r="C29" s="68" t="s">
        <v>9</v>
      </c>
      <c r="D29" s="33">
        <f>SUM(D4:D28)</f>
        <v>4</v>
      </c>
      <c r="E29" s="33">
        <f>SUM(E4:E28)</f>
        <v>40</v>
      </c>
      <c r="F29" s="33">
        <f>SUM(F4:F28)</f>
        <v>14</v>
      </c>
      <c r="G29" s="33">
        <f>SUM(G4:G28)</f>
        <v>6</v>
      </c>
      <c r="H29" s="33" t="s">
        <v>20</v>
      </c>
      <c r="I29" s="33" t="s">
        <v>20</v>
      </c>
      <c r="J29" s="33" t="s">
        <v>20</v>
      </c>
      <c r="K29" s="33">
        <f>SUM(K4:K28)</f>
        <v>1</v>
      </c>
      <c r="L29" s="33" t="s">
        <v>20</v>
      </c>
      <c r="M29" s="33" t="s">
        <v>20</v>
      </c>
      <c r="N29" s="33" t="s">
        <v>20</v>
      </c>
      <c r="O29" s="33" t="s">
        <v>20</v>
      </c>
      <c r="P29" s="36"/>
      <c r="S29" s="33" t="s">
        <v>20</v>
      </c>
      <c r="T29" s="68" t="s">
        <v>9</v>
      </c>
      <c r="U29" s="38">
        <f>SUM(U4:U28)</f>
        <v>11.428571428571429</v>
      </c>
      <c r="V29" s="38">
        <f>SUM(V4:V28)</f>
        <v>114.28571428571429</v>
      </c>
      <c r="W29" s="38">
        <f>SUM(W4:W28)</f>
        <v>40</v>
      </c>
      <c r="X29" s="38">
        <f>SUM(X4:X28)</f>
        <v>17.142857142857142</v>
      </c>
      <c r="Y29" s="38" t="s">
        <v>20</v>
      </c>
      <c r="Z29" s="38" t="s">
        <v>20</v>
      </c>
      <c r="AA29" s="38" t="s">
        <v>20</v>
      </c>
      <c r="AB29" s="38">
        <f>SUM(AB4:AB28)</f>
        <v>2.8571428571428572</v>
      </c>
      <c r="AC29" s="38" t="s">
        <v>20</v>
      </c>
      <c r="AD29" s="38" t="s">
        <v>20</v>
      </c>
      <c r="AE29" s="38" t="s">
        <v>20</v>
      </c>
      <c r="AF29" s="38" t="s">
        <v>20</v>
      </c>
      <c r="AG29" s="36"/>
    </row>
    <row r="30" spans="1:33" s="19" customFormat="1" x14ac:dyDescent="0.3">
      <c r="B30" s="37" t="s">
        <v>20</v>
      </c>
      <c r="C30" s="73" t="s">
        <v>70</v>
      </c>
      <c r="D30" s="98">
        <f>D29/25</f>
        <v>0.16</v>
      </c>
      <c r="E30" s="98">
        <f>E29/25</f>
        <v>1.6</v>
      </c>
      <c r="F30" s="98">
        <f>F29/25</f>
        <v>0.56000000000000005</v>
      </c>
      <c r="G30" s="98">
        <f>G29/25</f>
        <v>0.24</v>
      </c>
      <c r="H30" s="98" t="s">
        <v>20</v>
      </c>
      <c r="I30" s="98" t="s">
        <v>20</v>
      </c>
      <c r="J30" s="98" t="s">
        <v>20</v>
      </c>
      <c r="K30" s="98">
        <f>K29/25</f>
        <v>0.04</v>
      </c>
      <c r="L30" s="98" t="s">
        <v>20</v>
      </c>
      <c r="M30" s="98" t="s">
        <v>20</v>
      </c>
      <c r="N30" s="98" t="s">
        <v>20</v>
      </c>
      <c r="O30" s="98" t="s">
        <v>20</v>
      </c>
      <c r="P30" s="41"/>
      <c r="Q30" s="126"/>
      <c r="R30" s="126"/>
      <c r="S30" s="137" t="s">
        <v>20</v>
      </c>
      <c r="T30" s="105" t="s">
        <v>70</v>
      </c>
      <c r="U30" s="98">
        <f>U29/25</f>
        <v>0.45714285714285713</v>
      </c>
      <c r="V30" s="98">
        <f>V29/25</f>
        <v>4.5714285714285721</v>
      </c>
      <c r="W30" s="98">
        <f>W29/25</f>
        <v>1.6</v>
      </c>
      <c r="X30" s="98">
        <f>X29/25</f>
        <v>0.68571428571428572</v>
      </c>
      <c r="Y30" s="98" t="s">
        <v>20</v>
      </c>
      <c r="Z30" s="98" t="s">
        <v>20</v>
      </c>
      <c r="AA30" s="98" t="s">
        <v>20</v>
      </c>
      <c r="AB30" s="98">
        <f>AB29/25</f>
        <v>0.11428571428571428</v>
      </c>
      <c r="AC30" s="98" t="s">
        <v>20</v>
      </c>
      <c r="AD30" s="98" t="s">
        <v>20</v>
      </c>
      <c r="AE30" s="98" t="s">
        <v>20</v>
      </c>
      <c r="AF30" s="98" t="s">
        <v>20</v>
      </c>
      <c r="AG30" s="138"/>
    </row>
    <row r="31" spans="1:33" s="17" customFormat="1" ht="30.45" customHeight="1" x14ac:dyDescent="0.3">
      <c r="B31" s="42"/>
      <c r="C31" s="108" t="s">
        <v>73</v>
      </c>
      <c r="D31" s="99">
        <f>4/2</f>
        <v>2</v>
      </c>
      <c r="E31" s="98">
        <f>40/5</f>
        <v>8</v>
      </c>
      <c r="F31" s="100">
        <f>14/6</f>
        <v>2.3333333333333335</v>
      </c>
      <c r="G31" s="101">
        <f>6/5</f>
        <v>1.2</v>
      </c>
      <c r="H31" s="102" t="s">
        <v>20</v>
      </c>
      <c r="I31" s="102"/>
      <c r="J31" s="103"/>
      <c r="K31" s="100">
        <f>1/1</f>
        <v>1</v>
      </c>
      <c r="L31" s="38"/>
      <c r="M31" s="39"/>
      <c r="N31" s="38"/>
      <c r="O31" s="39"/>
      <c r="P31" s="48"/>
      <c r="Q31" s="127"/>
      <c r="R31" s="127"/>
      <c r="S31" s="42"/>
      <c r="T31" s="109" t="s">
        <v>73</v>
      </c>
      <c r="U31" s="99">
        <f>U29/2</f>
        <v>5.7142857142857144</v>
      </c>
      <c r="V31" s="98">
        <f>V29/5</f>
        <v>22.857142857142858</v>
      </c>
      <c r="W31" s="100">
        <f>W29/6</f>
        <v>6.666666666666667</v>
      </c>
      <c r="X31" s="101">
        <f>X29/5</f>
        <v>3.4285714285714284</v>
      </c>
      <c r="Y31" s="102" t="s">
        <v>20</v>
      </c>
      <c r="Z31" s="102"/>
      <c r="AA31" s="103"/>
      <c r="AB31" s="100">
        <f>AB29/1</f>
        <v>2.8571428571428572</v>
      </c>
      <c r="AC31" s="98"/>
      <c r="AD31" s="100"/>
      <c r="AE31" s="98"/>
      <c r="AF31" s="100"/>
      <c r="AG31" s="48"/>
    </row>
    <row r="32" spans="1:33" ht="27" customHeight="1" x14ac:dyDescent="0.3">
      <c r="B32" s="3"/>
      <c r="G32" s="5"/>
      <c r="H32" s="5"/>
      <c r="I32" s="5"/>
      <c r="J32" s="5"/>
      <c r="K32" s="3"/>
      <c r="L32" s="3"/>
      <c r="M32" s="18"/>
    </row>
    <row r="33" spans="2:13" x14ac:dyDescent="0.3">
      <c r="B33" s="6"/>
      <c r="C33" s="49"/>
      <c r="G33" s="3"/>
      <c r="H33" s="3"/>
      <c r="I33" s="3"/>
      <c r="J33" s="3"/>
      <c r="K33" s="3"/>
      <c r="L33" s="3"/>
      <c r="M33" s="18"/>
    </row>
    <row r="34" spans="2:13" x14ac:dyDescent="0.3">
      <c r="B34" s="7"/>
      <c r="C34" s="49"/>
      <c r="G34" s="3"/>
      <c r="H34" s="3"/>
      <c r="I34" s="3"/>
      <c r="J34" s="3"/>
      <c r="K34" s="3"/>
      <c r="L34" s="3"/>
      <c r="M34" s="18"/>
    </row>
    <row r="35" spans="2:13" x14ac:dyDescent="0.3">
      <c r="B35" s="8"/>
      <c r="C35" s="49"/>
      <c r="G35" s="3"/>
      <c r="H35" s="3"/>
      <c r="I35" s="3"/>
      <c r="J35" s="3"/>
      <c r="K35" s="3"/>
      <c r="L35" s="3"/>
      <c r="M35" s="18"/>
    </row>
    <row r="36" spans="2:13" x14ac:dyDescent="0.3">
      <c r="B36" s="9"/>
      <c r="C36" s="49"/>
      <c r="G36" s="3"/>
      <c r="H36" s="3"/>
      <c r="I36" s="3"/>
      <c r="J36" s="3"/>
      <c r="K36" s="3"/>
      <c r="L36" s="3"/>
      <c r="M36" s="18"/>
    </row>
    <row r="37" spans="2:13" x14ac:dyDescent="0.3">
      <c r="B37" s="3"/>
      <c r="G37" s="3"/>
      <c r="H37" s="3"/>
      <c r="I37" s="3"/>
      <c r="J37" s="3"/>
      <c r="K37" s="3"/>
      <c r="L37" s="3"/>
      <c r="M37" s="18"/>
    </row>
  </sheetData>
  <pageMargins left="0.99803149599999996" right="0.39370078740157499" top="0.98425196850393704" bottom="0.98425196850393704" header="0.511811023622047" footer="0.511811023622047"/>
  <pageSetup orientation="portrait" horizontalDpi="300" verticalDpi="300" r:id="rId1"/>
  <headerFooter alignWithMargins="0">
    <oddHeader>&amp;LTable 1.  Summary of defoliators in 25 Permanent Sample Plots in the West Nelson Forest Region, 2002.</oddHeader>
    <oddFooter>&amp;L&amp;"Franklin Gothic Book,Regular"&amp;8JCH Forest Pest Management&amp;R&amp;"Franklin Gothic Book,Regular"&amp;8&amp;D</oddFooter>
  </headerFooter>
  <ignoredErrors>
    <ignoredError sqref="W31" formula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 tint="0.59999389629810485"/>
  </sheetPr>
  <dimension ref="A1:AG37"/>
  <sheetViews>
    <sheetView zoomScale="75" workbookViewId="0">
      <selection activeCell="D23" sqref="D23"/>
    </sheetView>
  </sheetViews>
  <sheetFormatPr defaultColWidth="8.765625" defaultRowHeight="12.45" x14ac:dyDescent="0.3"/>
  <cols>
    <col min="2" max="2" width="4.69140625" style="1" customWidth="1"/>
    <col min="3" max="3" width="17.69140625" style="3" customWidth="1"/>
    <col min="4" max="6" width="4.765625" customWidth="1"/>
    <col min="7" max="7" width="4.765625" style="1" customWidth="1"/>
    <col min="8" max="12" width="4.765625" customWidth="1"/>
    <col min="13" max="13" width="4.765625" style="51" customWidth="1"/>
    <col min="14" max="16" width="4.765625" customWidth="1"/>
    <col min="17" max="18" width="5.3046875" style="125" customWidth="1"/>
    <col min="20" max="20" width="20.4609375" customWidth="1"/>
    <col min="28" max="28" width="9.07421875" bestFit="1" customWidth="1"/>
  </cols>
  <sheetData>
    <row r="1" spans="1:33" s="113" customFormat="1" ht="32.6" customHeight="1" x14ac:dyDescent="0.4">
      <c r="B1" s="113" t="s">
        <v>82</v>
      </c>
      <c r="C1" s="112"/>
      <c r="G1" s="114"/>
      <c r="M1" s="115"/>
      <c r="Q1" s="121"/>
      <c r="R1" s="121"/>
      <c r="S1" s="113" t="s">
        <v>81</v>
      </c>
    </row>
    <row r="2" spans="1:33" s="3" customFormat="1" ht="28.2" customHeight="1" x14ac:dyDescent="0.4">
      <c r="D2" s="12"/>
      <c r="E2" s="13"/>
      <c r="F2" s="14"/>
      <c r="G2" s="11"/>
      <c r="H2" s="13"/>
      <c r="I2" s="13"/>
      <c r="J2" s="13"/>
      <c r="K2" s="13"/>
      <c r="L2" s="13"/>
      <c r="M2" s="10"/>
      <c r="N2" s="13"/>
      <c r="O2" s="13"/>
      <c r="P2" s="14"/>
      <c r="Q2" s="122"/>
      <c r="R2" s="122"/>
      <c r="U2" s="12"/>
      <c r="V2" s="13"/>
      <c r="W2" s="14"/>
      <c r="X2" s="11"/>
      <c r="Y2" s="13"/>
      <c r="Z2" s="13"/>
      <c r="AA2" s="13"/>
      <c r="AB2" s="13"/>
      <c r="AC2" s="13"/>
      <c r="AD2" s="10"/>
      <c r="AE2" s="13"/>
      <c r="AF2" s="13"/>
      <c r="AG2" s="14"/>
    </row>
    <row r="3" spans="1:33" s="2" customFormat="1" ht="174.45" customHeight="1" x14ac:dyDescent="0.3">
      <c r="A3" s="2" t="s">
        <v>98</v>
      </c>
      <c r="B3" s="20" t="s">
        <v>0</v>
      </c>
      <c r="C3" s="20" t="s">
        <v>25</v>
      </c>
      <c r="D3" s="21" t="s">
        <v>5</v>
      </c>
      <c r="E3" s="21" t="s">
        <v>6</v>
      </c>
      <c r="F3" s="21" t="s">
        <v>1</v>
      </c>
      <c r="G3" s="21" t="s">
        <v>7</v>
      </c>
      <c r="H3" s="21" t="s">
        <v>4</v>
      </c>
      <c r="I3" s="21" t="s">
        <v>3</v>
      </c>
      <c r="J3" s="22" t="s">
        <v>2</v>
      </c>
      <c r="K3" s="21" t="s">
        <v>59</v>
      </c>
      <c r="L3" s="22" t="s">
        <v>60</v>
      </c>
      <c r="M3" s="22" t="s">
        <v>18</v>
      </c>
      <c r="N3" s="21" t="s">
        <v>12</v>
      </c>
      <c r="O3" s="21" t="s">
        <v>57</v>
      </c>
      <c r="P3" s="21" t="s">
        <v>13</v>
      </c>
      <c r="Q3" s="123"/>
      <c r="R3" s="159" t="s">
        <v>98</v>
      </c>
      <c r="S3" s="20" t="s">
        <v>0</v>
      </c>
      <c r="T3" s="20" t="s">
        <v>25</v>
      </c>
      <c r="U3" s="21" t="s">
        <v>5</v>
      </c>
      <c r="V3" s="21" t="s">
        <v>6</v>
      </c>
      <c r="W3" s="21" t="s">
        <v>1</v>
      </c>
      <c r="X3" s="21" t="s">
        <v>7</v>
      </c>
      <c r="Y3" s="21" t="s">
        <v>4</v>
      </c>
      <c r="Z3" s="21" t="s">
        <v>3</v>
      </c>
      <c r="AA3" s="22" t="s">
        <v>2</v>
      </c>
      <c r="AB3" s="21" t="s">
        <v>59</v>
      </c>
      <c r="AC3" s="22" t="s">
        <v>60</v>
      </c>
      <c r="AD3" s="22" t="s">
        <v>18</v>
      </c>
      <c r="AE3" s="21" t="s">
        <v>12</v>
      </c>
      <c r="AF3" s="21" t="s">
        <v>57</v>
      </c>
      <c r="AG3" s="21" t="s">
        <v>13</v>
      </c>
    </row>
    <row r="4" spans="1:33" x14ac:dyDescent="0.3">
      <c r="A4" s="78" t="s">
        <v>99</v>
      </c>
      <c r="B4" s="24">
        <v>30</v>
      </c>
      <c r="C4" s="24" t="s">
        <v>42</v>
      </c>
      <c r="D4" s="24">
        <v>0</v>
      </c>
      <c r="E4" s="24">
        <v>0</v>
      </c>
      <c r="F4" s="24">
        <v>1</v>
      </c>
      <c r="G4" s="24">
        <v>0</v>
      </c>
      <c r="H4" s="24">
        <v>0</v>
      </c>
      <c r="I4" s="24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4" t="s">
        <v>14</v>
      </c>
      <c r="Q4" s="124"/>
      <c r="R4" s="78" t="s">
        <v>99</v>
      </c>
      <c r="S4" s="24">
        <v>30</v>
      </c>
      <c r="T4" s="24" t="s">
        <v>42</v>
      </c>
      <c r="U4" s="136">
        <f>D4/0.35</f>
        <v>0</v>
      </c>
      <c r="V4" s="136">
        <f t="shared" ref="V4:AF4" si="0">E4/0.35</f>
        <v>0</v>
      </c>
      <c r="W4" s="136">
        <f t="shared" si="0"/>
        <v>2.8571428571428572</v>
      </c>
      <c r="X4" s="136">
        <f t="shared" si="0"/>
        <v>0</v>
      </c>
      <c r="Y4" s="136">
        <f t="shared" si="0"/>
        <v>0</v>
      </c>
      <c r="Z4" s="136">
        <f t="shared" si="0"/>
        <v>0</v>
      </c>
      <c r="AA4" s="136">
        <f t="shared" si="0"/>
        <v>0</v>
      </c>
      <c r="AB4" s="136">
        <f t="shared" si="0"/>
        <v>0</v>
      </c>
      <c r="AC4" s="136">
        <f t="shared" si="0"/>
        <v>0</v>
      </c>
      <c r="AD4" s="136">
        <f t="shared" si="0"/>
        <v>0</v>
      </c>
      <c r="AE4" s="136">
        <f t="shared" si="0"/>
        <v>0</v>
      </c>
      <c r="AF4" s="136">
        <f t="shared" si="0"/>
        <v>0</v>
      </c>
      <c r="AG4" s="24" t="s">
        <v>14</v>
      </c>
    </row>
    <row r="5" spans="1:33" x14ac:dyDescent="0.3">
      <c r="A5" s="78" t="s">
        <v>99</v>
      </c>
      <c r="B5" s="24">
        <v>38</v>
      </c>
      <c r="C5" s="24" t="s">
        <v>43</v>
      </c>
      <c r="D5" s="24">
        <v>0</v>
      </c>
      <c r="E5" s="24">
        <v>0</v>
      </c>
      <c r="F5" s="24">
        <v>2</v>
      </c>
      <c r="G5" s="24">
        <v>0</v>
      </c>
      <c r="H5" s="24">
        <v>0</v>
      </c>
      <c r="I5" s="24">
        <v>0</v>
      </c>
      <c r="J5" s="25">
        <v>0</v>
      </c>
      <c r="K5" s="25">
        <v>1</v>
      </c>
      <c r="L5" s="25">
        <v>0</v>
      </c>
      <c r="M5" s="25">
        <v>0</v>
      </c>
      <c r="N5" s="25">
        <v>0</v>
      </c>
      <c r="O5" s="25">
        <v>0</v>
      </c>
      <c r="P5" s="24" t="s">
        <v>14</v>
      </c>
      <c r="R5" s="78" t="s">
        <v>99</v>
      </c>
      <c r="S5" s="24">
        <v>38</v>
      </c>
      <c r="T5" s="24" t="s">
        <v>43</v>
      </c>
      <c r="U5" s="136">
        <f t="shared" ref="U5:U28" si="1">D5/0.35</f>
        <v>0</v>
      </c>
      <c r="V5" s="136">
        <f t="shared" ref="V5:V28" si="2">E5/0.35</f>
        <v>0</v>
      </c>
      <c r="W5" s="136">
        <f t="shared" ref="W5:W28" si="3">F5/0.35</f>
        <v>5.7142857142857144</v>
      </c>
      <c r="X5" s="136">
        <f t="shared" ref="X5:X28" si="4">G5/0.35</f>
        <v>0</v>
      </c>
      <c r="Y5" s="136">
        <f t="shared" ref="Y5:Y28" si="5">H5/0.35</f>
        <v>0</v>
      </c>
      <c r="Z5" s="136">
        <f t="shared" ref="Z5:Z28" si="6">I5/0.35</f>
        <v>0</v>
      </c>
      <c r="AA5" s="136">
        <f t="shared" ref="AA5:AA28" si="7">J5/0.35</f>
        <v>0</v>
      </c>
      <c r="AB5" s="136">
        <f t="shared" ref="AB5:AB28" si="8">K5/0.35</f>
        <v>2.8571428571428572</v>
      </c>
      <c r="AC5" s="136">
        <f t="shared" ref="AC5:AC28" si="9">L5/0.35</f>
        <v>0</v>
      </c>
      <c r="AD5" s="136">
        <f t="shared" ref="AD5:AD28" si="10">M5/0.35</f>
        <v>0</v>
      </c>
      <c r="AE5" s="136">
        <f t="shared" ref="AE5:AE28" si="11">N5/0.35</f>
        <v>0</v>
      </c>
      <c r="AF5" s="136">
        <f t="shared" ref="AF5:AF28" si="12">O5/0.35</f>
        <v>0</v>
      </c>
      <c r="AG5" s="24" t="s">
        <v>14</v>
      </c>
    </row>
    <row r="6" spans="1:33" x14ac:dyDescent="0.3">
      <c r="A6" s="78" t="s">
        <v>99</v>
      </c>
      <c r="B6" s="24">
        <v>58</v>
      </c>
      <c r="C6" s="24" t="s">
        <v>44</v>
      </c>
      <c r="D6" s="24">
        <v>0</v>
      </c>
      <c r="E6" s="24">
        <v>5</v>
      </c>
      <c r="F6" s="24">
        <v>0</v>
      </c>
      <c r="G6" s="24">
        <v>2</v>
      </c>
      <c r="H6" s="24">
        <v>0</v>
      </c>
      <c r="I6" s="24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4" t="s">
        <v>14</v>
      </c>
      <c r="R6" s="78" t="s">
        <v>99</v>
      </c>
      <c r="S6" s="24">
        <v>58</v>
      </c>
      <c r="T6" s="24" t="s">
        <v>44</v>
      </c>
      <c r="U6" s="136">
        <f t="shared" si="1"/>
        <v>0</v>
      </c>
      <c r="V6" s="136">
        <f t="shared" si="2"/>
        <v>14.285714285714286</v>
      </c>
      <c r="W6" s="136">
        <f t="shared" si="3"/>
        <v>0</v>
      </c>
      <c r="X6" s="136">
        <f t="shared" si="4"/>
        <v>5.7142857142857144</v>
      </c>
      <c r="Y6" s="136">
        <f t="shared" si="5"/>
        <v>0</v>
      </c>
      <c r="Z6" s="136">
        <f t="shared" si="6"/>
        <v>0</v>
      </c>
      <c r="AA6" s="136">
        <f t="shared" si="7"/>
        <v>0</v>
      </c>
      <c r="AB6" s="136">
        <f t="shared" si="8"/>
        <v>0</v>
      </c>
      <c r="AC6" s="136">
        <f t="shared" si="9"/>
        <v>0</v>
      </c>
      <c r="AD6" s="136">
        <f t="shared" si="10"/>
        <v>0</v>
      </c>
      <c r="AE6" s="136">
        <f t="shared" si="11"/>
        <v>0</v>
      </c>
      <c r="AF6" s="136">
        <f t="shared" si="12"/>
        <v>0</v>
      </c>
      <c r="AG6" s="24" t="s">
        <v>14</v>
      </c>
    </row>
    <row r="7" spans="1:33" x14ac:dyDescent="0.3">
      <c r="A7" s="78" t="s">
        <v>99</v>
      </c>
      <c r="B7" s="24">
        <v>61</v>
      </c>
      <c r="C7" s="24" t="s">
        <v>45</v>
      </c>
      <c r="D7" s="24">
        <v>0</v>
      </c>
      <c r="E7" s="24">
        <v>0</v>
      </c>
      <c r="F7" s="24">
        <v>7</v>
      </c>
      <c r="G7" s="24">
        <v>0</v>
      </c>
      <c r="H7" s="24">
        <v>0</v>
      </c>
      <c r="I7" s="24">
        <v>0</v>
      </c>
      <c r="J7" s="25">
        <v>0</v>
      </c>
      <c r="K7" s="25">
        <v>4</v>
      </c>
      <c r="L7" s="25">
        <v>0</v>
      </c>
      <c r="M7" s="25">
        <v>0</v>
      </c>
      <c r="N7" s="25">
        <v>0</v>
      </c>
      <c r="O7" s="25">
        <v>0</v>
      </c>
      <c r="P7" s="24" t="s">
        <v>14</v>
      </c>
      <c r="R7" s="78" t="s">
        <v>99</v>
      </c>
      <c r="S7" s="24">
        <v>61</v>
      </c>
      <c r="T7" s="24" t="s">
        <v>45</v>
      </c>
      <c r="U7" s="136">
        <f t="shared" si="1"/>
        <v>0</v>
      </c>
      <c r="V7" s="136">
        <f t="shared" si="2"/>
        <v>0</v>
      </c>
      <c r="W7" s="136">
        <f t="shared" si="3"/>
        <v>20</v>
      </c>
      <c r="X7" s="136">
        <f t="shared" si="4"/>
        <v>0</v>
      </c>
      <c r="Y7" s="136">
        <f t="shared" si="5"/>
        <v>0</v>
      </c>
      <c r="Z7" s="136">
        <f t="shared" si="6"/>
        <v>0</v>
      </c>
      <c r="AA7" s="136">
        <f t="shared" si="7"/>
        <v>0</v>
      </c>
      <c r="AB7" s="136">
        <f t="shared" si="8"/>
        <v>11.428571428571429</v>
      </c>
      <c r="AC7" s="136">
        <f t="shared" si="9"/>
        <v>0</v>
      </c>
      <c r="AD7" s="136">
        <f t="shared" si="10"/>
        <v>0</v>
      </c>
      <c r="AE7" s="136">
        <f t="shared" si="11"/>
        <v>0</v>
      </c>
      <c r="AF7" s="136">
        <f t="shared" si="12"/>
        <v>0</v>
      </c>
      <c r="AG7" s="24" t="s">
        <v>14</v>
      </c>
    </row>
    <row r="8" spans="1:33" x14ac:dyDescent="0.3">
      <c r="A8" s="78" t="s">
        <v>99</v>
      </c>
      <c r="B8" s="24">
        <v>62</v>
      </c>
      <c r="C8" s="24" t="s">
        <v>46</v>
      </c>
      <c r="D8" s="24">
        <v>0</v>
      </c>
      <c r="E8" s="24">
        <v>11</v>
      </c>
      <c r="F8" s="24">
        <v>0</v>
      </c>
      <c r="G8" s="24">
        <v>1</v>
      </c>
      <c r="H8" s="24">
        <v>0</v>
      </c>
      <c r="I8" s="24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4" t="s">
        <v>14</v>
      </c>
      <c r="R8" s="78" t="s">
        <v>99</v>
      </c>
      <c r="S8" s="24">
        <v>62</v>
      </c>
      <c r="T8" s="24" t="s">
        <v>46</v>
      </c>
      <c r="U8" s="136">
        <f t="shared" si="1"/>
        <v>0</v>
      </c>
      <c r="V8" s="136">
        <f t="shared" si="2"/>
        <v>31.428571428571431</v>
      </c>
      <c r="W8" s="136">
        <f t="shared" si="3"/>
        <v>0</v>
      </c>
      <c r="X8" s="136">
        <f t="shared" si="4"/>
        <v>2.8571428571428572</v>
      </c>
      <c r="Y8" s="136">
        <f t="shared" si="5"/>
        <v>0</v>
      </c>
      <c r="Z8" s="136">
        <f t="shared" si="6"/>
        <v>0</v>
      </c>
      <c r="AA8" s="136">
        <f t="shared" si="7"/>
        <v>0</v>
      </c>
      <c r="AB8" s="136">
        <f t="shared" si="8"/>
        <v>0</v>
      </c>
      <c r="AC8" s="136">
        <f t="shared" si="9"/>
        <v>0</v>
      </c>
      <c r="AD8" s="136">
        <f t="shared" si="10"/>
        <v>0</v>
      </c>
      <c r="AE8" s="136">
        <f t="shared" si="11"/>
        <v>0</v>
      </c>
      <c r="AF8" s="136">
        <f t="shared" si="12"/>
        <v>0</v>
      </c>
      <c r="AG8" s="24" t="s">
        <v>14</v>
      </c>
    </row>
    <row r="9" spans="1:33" x14ac:dyDescent="0.3">
      <c r="A9" s="78" t="s">
        <v>99</v>
      </c>
      <c r="B9" s="24">
        <v>65</v>
      </c>
      <c r="C9" s="24" t="s">
        <v>47</v>
      </c>
      <c r="D9" s="24">
        <v>0</v>
      </c>
      <c r="E9" s="24">
        <v>2</v>
      </c>
      <c r="F9" s="24">
        <v>2</v>
      </c>
      <c r="G9" s="24">
        <v>0</v>
      </c>
      <c r="H9" s="24">
        <v>0</v>
      </c>
      <c r="I9" s="24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4" t="s">
        <v>14</v>
      </c>
      <c r="R9" s="78" t="s">
        <v>99</v>
      </c>
      <c r="S9" s="24">
        <v>65</v>
      </c>
      <c r="T9" s="24" t="s">
        <v>47</v>
      </c>
      <c r="U9" s="136">
        <f t="shared" si="1"/>
        <v>0</v>
      </c>
      <c r="V9" s="136">
        <f t="shared" si="2"/>
        <v>5.7142857142857144</v>
      </c>
      <c r="W9" s="136">
        <f t="shared" si="3"/>
        <v>5.7142857142857144</v>
      </c>
      <c r="X9" s="136">
        <f t="shared" si="4"/>
        <v>0</v>
      </c>
      <c r="Y9" s="136">
        <f t="shared" si="5"/>
        <v>0</v>
      </c>
      <c r="Z9" s="136">
        <f t="shared" si="6"/>
        <v>0</v>
      </c>
      <c r="AA9" s="136">
        <f t="shared" si="7"/>
        <v>0</v>
      </c>
      <c r="AB9" s="136">
        <f t="shared" si="8"/>
        <v>0</v>
      </c>
      <c r="AC9" s="136">
        <f t="shared" si="9"/>
        <v>0</v>
      </c>
      <c r="AD9" s="136">
        <f t="shared" si="10"/>
        <v>0</v>
      </c>
      <c r="AE9" s="136">
        <f t="shared" si="11"/>
        <v>0</v>
      </c>
      <c r="AF9" s="136">
        <f t="shared" si="12"/>
        <v>0</v>
      </c>
      <c r="AG9" s="24" t="s">
        <v>14</v>
      </c>
    </row>
    <row r="10" spans="1:33" x14ac:dyDescent="0.3">
      <c r="A10" s="78" t="s">
        <v>100</v>
      </c>
      <c r="B10" s="24">
        <v>66</v>
      </c>
      <c r="C10" s="24" t="s">
        <v>52</v>
      </c>
      <c r="D10" s="24">
        <v>0</v>
      </c>
      <c r="E10" s="24">
        <v>0</v>
      </c>
      <c r="F10" s="24">
        <v>1</v>
      </c>
      <c r="G10" s="24">
        <v>1</v>
      </c>
      <c r="H10" s="24">
        <v>0</v>
      </c>
      <c r="I10" s="24">
        <v>0</v>
      </c>
      <c r="J10" s="25">
        <v>0</v>
      </c>
      <c r="K10" s="25">
        <v>1</v>
      </c>
      <c r="L10" s="25">
        <v>0</v>
      </c>
      <c r="M10" s="25">
        <v>0</v>
      </c>
      <c r="N10" s="25">
        <v>0</v>
      </c>
      <c r="O10" s="25">
        <v>0</v>
      </c>
      <c r="P10" s="24" t="s">
        <v>14</v>
      </c>
      <c r="R10" s="78" t="s">
        <v>100</v>
      </c>
      <c r="S10" s="24">
        <v>66</v>
      </c>
      <c r="T10" s="24" t="s">
        <v>52</v>
      </c>
      <c r="U10" s="136">
        <f t="shared" si="1"/>
        <v>0</v>
      </c>
      <c r="V10" s="136">
        <f t="shared" si="2"/>
        <v>0</v>
      </c>
      <c r="W10" s="136">
        <f t="shared" si="3"/>
        <v>2.8571428571428572</v>
      </c>
      <c r="X10" s="136">
        <f t="shared" si="4"/>
        <v>2.8571428571428572</v>
      </c>
      <c r="Y10" s="136">
        <f t="shared" si="5"/>
        <v>0</v>
      </c>
      <c r="Z10" s="136">
        <f t="shared" si="6"/>
        <v>0</v>
      </c>
      <c r="AA10" s="136">
        <f t="shared" si="7"/>
        <v>0</v>
      </c>
      <c r="AB10" s="136">
        <f t="shared" si="8"/>
        <v>2.8571428571428572</v>
      </c>
      <c r="AC10" s="136">
        <f t="shared" si="9"/>
        <v>0</v>
      </c>
      <c r="AD10" s="136">
        <f t="shared" si="10"/>
        <v>0</v>
      </c>
      <c r="AE10" s="136">
        <f t="shared" si="11"/>
        <v>0</v>
      </c>
      <c r="AF10" s="136">
        <f t="shared" si="12"/>
        <v>0</v>
      </c>
      <c r="AG10" s="24" t="s">
        <v>14</v>
      </c>
    </row>
    <row r="11" spans="1:33" x14ac:dyDescent="0.3">
      <c r="A11" s="78" t="s">
        <v>100</v>
      </c>
      <c r="B11" s="24">
        <v>69</v>
      </c>
      <c r="C11" s="24" t="s">
        <v>33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5">
        <v>0</v>
      </c>
      <c r="K11" s="25">
        <v>1</v>
      </c>
      <c r="L11" s="25">
        <v>0</v>
      </c>
      <c r="M11" s="25">
        <v>0</v>
      </c>
      <c r="N11" s="25">
        <v>0</v>
      </c>
      <c r="O11" s="25">
        <v>0</v>
      </c>
      <c r="P11" s="24" t="s">
        <v>14</v>
      </c>
      <c r="R11" s="78" t="s">
        <v>100</v>
      </c>
      <c r="S11" s="24">
        <v>69</v>
      </c>
      <c r="T11" s="24" t="s">
        <v>33</v>
      </c>
      <c r="U11" s="136">
        <f t="shared" si="1"/>
        <v>0</v>
      </c>
      <c r="V11" s="136">
        <f t="shared" si="2"/>
        <v>0</v>
      </c>
      <c r="W11" s="136">
        <f t="shared" si="3"/>
        <v>0</v>
      </c>
      <c r="X11" s="136">
        <f t="shared" si="4"/>
        <v>0</v>
      </c>
      <c r="Y11" s="136">
        <f t="shared" si="5"/>
        <v>0</v>
      </c>
      <c r="Z11" s="136">
        <f t="shared" si="6"/>
        <v>0</v>
      </c>
      <c r="AA11" s="136">
        <f t="shared" si="7"/>
        <v>0</v>
      </c>
      <c r="AB11" s="136">
        <f t="shared" si="8"/>
        <v>2.8571428571428572</v>
      </c>
      <c r="AC11" s="136">
        <f t="shared" si="9"/>
        <v>0</v>
      </c>
      <c r="AD11" s="136">
        <f t="shared" si="10"/>
        <v>0</v>
      </c>
      <c r="AE11" s="136">
        <f t="shared" si="11"/>
        <v>0</v>
      </c>
      <c r="AF11" s="136">
        <f t="shared" si="12"/>
        <v>0</v>
      </c>
      <c r="AG11" s="24" t="s">
        <v>14</v>
      </c>
    </row>
    <row r="12" spans="1:33" x14ac:dyDescent="0.3">
      <c r="A12" s="78" t="s">
        <v>99</v>
      </c>
      <c r="B12" s="24">
        <v>70</v>
      </c>
      <c r="C12" s="24" t="s">
        <v>27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4" t="s">
        <v>14</v>
      </c>
      <c r="R12" s="78" t="s">
        <v>99</v>
      </c>
      <c r="S12" s="24">
        <v>70</v>
      </c>
      <c r="T12" s="24" t="s">
        <v>27</v>
      </c>
      <c r="U12" s="136">
        <f t="shared" si="1"/>
        <v>0</v>
      </c>
      <c r="V12" s="136">
        <f t="shared" si="2"/>
        <v>0</v>
      </c>
      <c r="W12" s="136">
        <f t="shared" si="3"/>
        <v>0</v>
      </c>
      <c r="X12" s="136">
        <f t="shared" si="4"/>
        <v>0</v>
      </c>
      <c r="Y12" s="136">
        <f t="shared" si="5"/>
        <v>0</v>
      </c>
      <c r="Z12" s="136">
        <f t="shared" si="6"/>
        <v>0</v>
      </c>
      <c r="AA12" s="136">
        <f t="shared" si="7"/>
        <v>0</v>
      </c>
      <c r="AB12" s="136">
        <f t="shared" si="8"/>
        <v>0</v>
      </c>
      <c r="AC12" s="136">
        <f t="shared" si="9"/>
        <v>0</v>
      </c>
      <c r="AD12" s="136">
        <f t="shared" si="10"/>
        <v>0</v>
      </c>
      <c r="AE12" s="136">
        <f t="shared" si="11"/>
        <v>0</v>
      </c>
      <c r="AF12" s="136">
        <f t="shared" si="12"/>
        <v>0</v>
      </c>
      <c r="AG12" s="24" t="s">
        <v>14</v>
      </c>
    </row>
    <row r="13" spans="1:33" x14ac:dyDescent="0.3">
      <c r="A13" s="78" t="s">
        <v>99</v>
      </c>
      <c r="B13" s="24">
        <v>71</v>
      </c>
      <c r="C13" s="24" t="s">
        <v>28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4" t="s">
        <v>14</v>
      </c>
      <c r="R13" s="78" t="s">
        <v>99</v>
      </c>
      <c r="S13" s="24">
        <v>71</v>
      </c>
      <c r="T13" s="24" t="s">
        <v>28</v>
      </c>
      <c r="U13" s="136">
        <f t="shared" si="1"/>
        <v>0</v>
      </c>
      <c r="V13" s="136">
        <f t="shared" si="2"/>
        <v>0</v>
      </c>
      <c r="W13" s="136">
        <f t="shared" si="3"/>
        <v>0</v>
      </c>
      <c r="X13" s="136">
        <f t="shared" si="4"/>
        <v>0</v>
      </c>
      <c r="Y13" s="136">
        <f t="shared" si="5"/>
        <v>0</v>
      </c>
      <c r="Z13" s="136">
        <f t="shared" si="6"/>
        <v>0</v>
      </c>
      <c r="AA13" s="136">
        <f t="shared" si="7"/>
        <v>0</v>
      </c>
      <c r="AB13" s="136">
        <f t="shared" si="8"/>
        <v>0</v>
      </c>
      <c r="AC13" s="136">
        <f t="shared" si="9"/>
        <v>0</v>
      </c>
      <c r="AD13" s="136">
        <f t="shared" si="10"/>
        <v>0</v>
      </c>
      <c r="AE13" s="136">
        <f t="shared" si="11"/>
        <v>0</v>
      </c>
      <c r="AF13" s="136">
        <f t="shared" si="12"/>
        <v>0</v>
      </c>
      <c r="AG13" s="24" t="s">
        <v>14</v>
      </c>
    </row>
    <row r="14" spans="1:33" x14ac:dyDescent="0.3">
      <c r="A14" s="78" t="s">
        <v>100</v>
      </c>
      <c r="B14" s="24">
        <v>72</v>
      </c>
      <c r="C14" s="24" t="s">
        <v>34</v>
      </c>
      <c r="D14" s="24">
        <v>0</v>
      </c>
      <c r="E14" s="24">
        <v>1</v>
      </c>
      <c r="F14" s="24">
        <v>0</v>
      </c>
      <c r="G14" s="24">
        <v>0</v>
      </c>
      <c r="H14" s="24">
        <v>0</v>
      </c>
      <c r="I14" s="24">
        <v>0</v>
      </c>
      <c r="J14" s="25">
        <v>1</v>
      </c>
      <c r="K14" s="25">
        <v>13</v>
      </c>
      <c r="L14" s="25">
        <v>0</v>
      </c>
      <c r="M14" s="25">
        <v>0</v>
      </c>
      <c r="N14" s="25">
        <v>0</v>
      </c>
      <c r="O14" s="25">
        <v>0</v>
      </c>
      <c r="P14" s="24" t="s">
        <v>14</v>
      </c>
      <c r="R14" s="78" t="s">
        <v>100</v>
      </c>
      <c r="S14" s="24">
        <v>72</v>
      </c>
      <c r="T14" s="24" t="s">
        <v>34</v>
      </c>
      <c r="U14" s="136">
        <f t="shared" si="1"/>
        <v>0</v>
      </c>
      <c r="V14" s="136">
        <f t="shared" si="2"/>
        <v>2.8571428571428572</v>
      </c>
      <c r="W14" s="136">
        <f t="shared" si="3"/>
        <v>0</v>
      </c>
      <c r="X14" s="136">
        <f t="shared" si="4"/>
        <v>0</v>
      </c>
      <c r="Y14" s="136">
        <f t="shared" si="5"/>
        <v>0</v>
      </c>
      <c r="Z14" s="136">
        <f t="shared" si="6"/>
        <v>0</v>
      </c>
      <c r="AA14" s="136">
        <f t="shared" si="7"/>
        <v>2.8571428571428572</v>
      </c>
      <c r="AB14" s="136">
        <f t="shared" si="8"/>
        <v>37.142857142857146</v>
      </c>
      <c r="AC14" s="136">
        <f t="shared" si="9"/>
        <v>0</v>
      </c>
      <c r="AD14" s="136">
        <f t="shared" si="10"/>
        <v>0</v>
      </c>
      <c r="AE14" s="136">
        <f t="shared" si="11"/>
        <v>0</v>
      </c>
      <c r="AF14" s="136">
        <f t="shared" si="12"/>
        <v>0</v>
      </c>
      <c r="AG14" s="24" t="s">
        <v>14</v>
      </c>
    </row>
    <row r="15" spans="1:33" x14ac:dyDescent="0.3">
      <c r="A15" s="78" t="s">
        <v>100</v>
      </c>
      <c r="B15" s="24">
        <v>73</v>
      </c>
      <c r="C15" s="24" t="s">
        <v>50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5">
        <v>4</v>
      </c>
      <c r="K15" s="25">
        <v>10</v>
      </c>
      <c r="L15" s="25">
        <v>0</v>
      </c>
      <c r="M15" s="25">
        <v>0</v>
      </c>
      <c r="N15" s="25">
        <v>0</v>
      </c>
      <c r="O15" s="25">
        <v>0</v>
      </c>
      <c r="P15" s="24" t="s">
        <v>14</v>
      </c>
      <c r="R15" s="78" t="s">
        <v>100</v>
      </c>
      <c r="S15" s="24">
        <v>73</v>
      </c>
      <c r="T15" s="24" t="s">
        <v>50</v>
      </c>
      <c r="U15" s="136">
        <f t="shared" si="1"/>
        <v>0</v>
      </c>
      <c r="V15" s="136">
        <f t="shared" si="2"/>
        <v>0</v>
      </c>
      <c r="W15" s="136">
        <f t="shared" si="3"/>
        <v>0</v>
      </c>
      <c r="X15" s="136">
        <f t="shared" si="4"/>
        <v>0</v>
      </c>
      <c r="Y15" s="136">
        <f t="shared" si="5"/>
        <v>0</v>
      </c>
      <c r="Z15" s="136">
        <f t="shared" si="6"/>
        <v>0</v>
      </c>
      <c r="AA15" s="136">
        <f t="shared" si="7"/>
        <v>11.428571428571429</v>
      </c>
      <c r="AB15" s="136">
        <f t="shared" si="8"/>
        <v>28.571428571428573</v>
      </c>
      <c r="AC15" s="136">
        <f t="shared" si="9"/>
        <v>0</v>
      </c>
      <c r="AD15" s="136">
        <f t="shared" si="10"/>
        <v>0</v>
      </c>
      <c r="AE15" s="136">
        <f t="shared" si="11"/>
        <v>0</v>
      </c>
      <c r="AF15" s="136">
        <f t="shared" si="12"/>
        <v>0</v>
      </c>
      <c r="AG15" s="24" t="s">
        <v>14</v>
      </c>
    </row>
    <row r="16" spans="1:33" x14ac:dyDescent="0.3">
      <c r="A16" s="78" t="s">
        <v>100</v>
      </c>
      <c r="B16" s="24">
        <v>74</v>
      </c>
      <c r="C16" s="24" t="s">
        <v>37</v>
      </c>
      <c r="D16" s="24">
        <v>1</v>
      </c>
      <c r="E16" s="24">
        <v>0</v>
      </c>
      <c r="F16" s="24">
        <v>2</v>
      </c>
      <c r="G16" s="24">
        <v>0</v>
      </c>
      <c r="H16" s="24">
        <v>0</v>
      </c>
      <c r="I16" s="24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4" t="s">
        <v>14</v>
      </c>
      <c r="R16" s="78" t="s">
        <v>100</v>
      </c>
      <c r="S16" s="24">
        <v>74</v>
      </c>
      <c r="T16" s="24" t="s">
        <v>37</v>
      </c>
      <c r="U16" s="136">
        <f t="shared" si="1"/>
        <v>2.8571428571428572</v>
      </c>
      <c r="V16" s="136">
        <f t="shared" si="2"/>
        <v>0</v>
      </c>
      <c r="W16" s="136">
        <f t="shared" si="3"/>
        <v>5.7142857142857144</v>
      </c>
      <c r="X16" s="136">
        <f t="shared" si="4"/>
        <v>0</v>
      </c>
      <c r="Y16" s="136">
        <f t="shared" si="5"/>
        <v>0</v>
      </c>
      <c r="Z16" s="136">
        <f t="shared" si="6"/>
        <v>0</v>
      </c>
      <c r="AA16" s="136">
        <f t="shared" si="7"/>
        <v>0</v>
      </c>
      <c r="AB16" s="136">
        <f t="shared" si="8"/>
        <v>0</v>
      </c>
      <c r="AC16" s="136">
        <f t="shared" si="9"/>
        <v>0</v>
      </c>
      <c r="AD16" s="136">
        <f t="shared" si="10"/>
        <v>0</v>
      </c>
      <c r="AE16" s="136">
        <f t="shared" si="11"/>
        <v>0</v>
      </c>
      <c r="AF16" s="136">
        <f t="shared" si="12"/>
        <v>0</v>
      </c>
      <c r="AG16" s="24" t="s">
        <v>14</v>
      </c>
    </row>
    <row r="17" spans="1:33" x14ac:dyDescent="0.3">
      <c r="A17" s="78" t="s">
        <v>100</v>
      </c>
      <c r="B17" s="24">
        <v>75</v>
      </c>
      <c r="C17" s="24" t="s">
        <v>38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4" t="s">
        <v>14</v>
      </c>
      <c r="R17" s="78" t="s">
        <v>100</v>
      </c>
      <c r="S17" s="24">
        <v>75</v>
      </c>
      <c r="T17" s="24" t="s">
        <v>38</v>
      </c>
      <c r="U17" s="136">
        <f t="shared" si="1"/>
        <v>0</v>
      </c>
      <c r="V17" s="136">
        <f t="shared" si="2"/>
        <v>0</v>
      </c>
      <c r="W17" s="136">
        <f t="shared" si="3"/>
        <v>0</v>
      </c>
      <c r="X17" s="136">
        <f t="shared" si="4"/>
        <v>0</v>
      </c>
      <c r="Y17" s="136">
        <f t="shared" si="5"/>
        <v>0</v>
      </c>
      <c r="Z17" s="136">
        <f t="shared" si="6"/>
        <v>0</v>
      </c>
      <c r="AA17" s="136">
        <f t="shared" si="7"/>
        <v>0</v>
      </c>
      <c r="AB17" s="136">
        <f t="shared" si="8"/>
        <v>0</v>
      </c>
      <c r="AC17" s="136">
        <f t="shared" si="9"/>
        <v>0</v>
      </c>
      <c r="AD17" s="136">
        <f t="shared" si="10"/>
        <v>0</v>
      </c>
      <c r="AE17" s="136">
        <f t="shared" si="11"/>
        <v>0</v>
      </c>
      <c r="AF17" s="136">
        <f t="shared" si="12"/>
        <v>0</v>
      </c>
      <c r="AG17" s="24" t="s">
        <v>14</v>
      </c>
    </row>
    <row r="18" spans="1:33" x14ac:dyDescent="0.3">
      <c r="A18" s="78" t="s">
        <v>100</v>
      </c>
      <c r="B18" s="24">
        <v>76</v>
      </c>
      <c r="C18" s="24" t="s">
        <v>39</v>
      </c>
      <c r="D18" s="24">
        <v>0</v>
      </c>
      <c r="E18" s="24">
        <v>0</v>
      </c>
      <c r="F18" s="24">
        <v>1</v>
      </c>
      <c r="G18" s="24">
        <v>0</v>
      </c>
      <c r="H18" s="24">
        <v>0</v>
      </c>
      <c r="I18" s="24">
        <v>0</v>
      </c>
      <c r="J18" s="25">
        <v>0</v>
      </c>
      <c r="K18" s="25">
        <v>1</v>
      </c>
      <c r="L18" s="25">
        <v>0</v>
      </c>
      <c r="M18" s="25">
        <v>0</v>
      </c>
      <c r="N18" s="25">
        <v>0</v>
      </c>
      <c r="O18" s="25">
        <v>0</v>
      </c>
      <c r="P18" s="24" t="s">
        <v>14</v>
      </c>
      <c r="R18" s="78" t="s">
        <v>100</v>
      </c>
      <c r="S18" s="24">
        <v>76</v>
      </c>
      <c r="T18" s="24" t="s">
        <v>39</v>
      </c>
      <c r="U18" s="136">
        <f t="shared" si="1"/>
        <v>0</v>
      </c>
      <c r="V18" s="136">
        <f t="shared" si="2"/>
        <v>0</v>
      </c>
      <c r="W18" s="136">
        <f t="shared" si="3"/>
        <v>2.8571428571428572</v>
      </c>
      <c r="X18" s="136">
        <f t="shared" si="4"/>
        <v>0</v>
      </c>
      <c r="Y18" s="136">
        <f t="shared" si="5"/>
        <v>0</v>
      </c>
      <c r="Z18" s="136">
        <f t="shared" si="6"/>
        <v>0</v>
      </c>
      <c r="AA18" s="136">
        <f t="shared" si="7"/>
        <v>0</v>
      </c>
      <c r="AB18" s="136">
        <f t="shared" si="8"/>
        <v>2.8571428571428572</v>
      </c>
      <c r="AC18" s="136">
        <f t="shared" si="9"/>
        <v>0</v>
      </c>
      <c r="AD18" s="136">
        <f t="shared" si="10"/>
        <v>0</v>
      </c>
      <c r="AE18" s="136">
        <f t="shared" si="11"/>
        <v>0</v>
      </c>
      <c r="AF18" s="136">
        <f t="shared" si="12"/>
        <v>0</v>
      </c>
      <c r="AG18" s="24" t="s">
        <v>14</v>
      </c>
    </row>
    <row r="19" spans="1:33" x14ac:dyDescent="0.3">
      <c r="A19" s="78" t="s">
        <v>100</v>
      </c>
      <c r="B19" s="24">
        <v>78</v>
      </c>
      <c r="C19" s="24" t="s">
        <v>40</v>
      </c>
      <c r="D19" s="24">
        <v>0</v>
      </c>
      <c r="E19" s="24">
        <v>11</v>
      </c>
      <c r="F19" s="24">
        <v>0</v>
      </c>
      <c r="G19" s="24">
        <v>0</v>
      </c>
      <c r="H19" s="24">
        <v>0</v>
      </c>
      <c r="I19" s="24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4" t="s">
        <v>14</v>
      </c>
      <c r="R19" s="78" t="s">
        <v>100</v>
      </c>
      <c r="S19" s="24">
        <v>78</v>
      </c>
      <c r="T19" s="24" t="s">
        <v>40</v>
      </c>
      <c r="U19" s="136">
        <f t="shared" si="1"/>
        <v>0</v>
      </c>
      <c r="V19" s="136">
        <f t="shared" si="2"/>
        <v>31.428571428571431</v>
      </c>
      <c r="W19" s="136">
        <f t="shared" si="3"/>
        <v>0</v>
      </c>
      <c r="X19" s="136">
        <f t="shared" si="4"/>
        <v>0</v>
      </c>
      <c r="Y19" s="136">
        <f t="shared" si="5"/>
        <v>0</v>
      </c>
      <c r="Z19" s="136">
        <f t="shared" si="6"/>
        <v>0</v>
      </c>
      <c r="AA19" s="136">
        <f t="shared" si="7"/>
        <v>0</v>
      </c>
      <c r="AB19" s="136">
        <f t="shared" si="8"/>
        <v>0</v>
      </c>
      <c r="AC19" s="136">
        <f t="shared" si="9"/>
        <v>0</v>
      </c>
      <c r="AD19" s="136">
        <f t="shared" si="10"/>
        <v>0</v>
      </c>
      <c r="AE19" s="136">
        <f t="shared" si="11"/>
        <v>0</v>
      </c>
      <c r="AF19" s="136">
        <f t="shared" si="12"/>
        <v>0</v>
      </c>
      <c r="AG19" s="24" t="s">
        <v>14</v>
      </c>
    </row>
    <row r="20" spans="1:33" x14ac:dyDescent="0.3">
      <c r="A20" s="78" t="s">
        <v>99</v>
      </c>
      <c r="B20" s="24">
        <v>79</v>
      </c>
      <c r="C20" s="24" t="s">
        <v>29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4" t="s">
        <v>14</v>
      </c>
      <c r="R20" s="78" t="s">
        <v>99</v>
      </c>
      <c r="S20" s="24">
        <v>79</v>
      </c>
      <c r="T20" s="24" t="s">
        <v>29</v>
      </c>
      <c r="U20" s="136">
        <f t="shared" si="1"/>
        <v>0</v>
      </c>
      <c r="V20" s="136">
        <f t="shared" si="2"/>
        <v>0</v>
      </c>
      <c r="W20" s="136">
        <f t="shared" si="3"/>
        <v>0</v>
      </c>
      <c r="X20" s="136">
        <f t="shared" si="4"/>
        <v>0</v>
      </c>
      <c r="Y20" s="136">
        <f t="shared" si="5"/>
        <v>0</v>
      </c>
      <c r="Z20" s="136">
        <f t="shared" si="6"/>
        <v>0</v>
      </c>
      <c r="AA20" s="136">
        <f t="shared" si="7"/>
        <v>0</v>
      </c>
      <c r="AB20" s="136">
        <f t="shared" si="8"/>
        <v>0</v>
      </c>
      <c r="AC20" s="136">
        <f t="shared" si="9"/>
        <v>0</v>
      </c>
      <c r="AD20" s="136">
        <f t="shared" si="10"/>
        <v>0</v>
      </c>
      <c r="AE20" s="136">
        <f t="shared" si="11"/>
        <v>0</v>
      </c>
      <c r="AF20" s="136">
        <f t="shared" si="12"/>
        <v>0</v>
      </c>
      <c r="AG20" s="24" t="s">
        <v>14</v>
      </c>
    </row>
    <row r="21" spans="1:33" x14ac:dyDescent="0.3">
      <c r="A21" s="78" t="s">
        <v>99</v>
      </c>
      <c r="B21" s="24">
        <v>80</v>
      </c>
      <c r="C21" s="24" t="s">
        <v>30</v>
      </c>
      <c r="D21" s="24">
        <v>0</v>
      </c>
      <c r="E21" s="24">
        <v>0</v>
      </c>
      <c r="F21" s="24">
        <v>0</v>
      </c>
      <c r="G21" s="24">
        <v>1</v>
      </c>
      <c r="H21" s="24">
        <v>0</v>
      </c>
      <c r="I21" s="24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4" t="s">
        <v>14</v>
      </c>
      <c r="R21" s="78" t="s">
        <v>99</v>
      </c>
      <c r="S21" s="24">
        <v>80</v>
      </c>
      <c r="T21" s="24" t="s">
        <v>30</v>
      </c>
      <c r="U21" s="136">
        <f t="shared" si="1"/>
        <v>0</v>
      </c>
      <c r="V21" s="136">
        <f t="shared" si="2"/>
        <v>0</v>
      </c>
      <c r="W21" s="136">
        <f t="shared" si="3"/>
        <v>0</v>
      </c>
      <c r="X21" s="136">
        <f t="shared" si="4"/>
        <v>2.8571428571428572</v>
      </c>
      <c r="Y21" s="136">
        <f t="shared" si="5"/>
        <v>0</v>
      </c>
      <c r="Z21" s="136">
        <f t="shared" si="6"/>
        <v>0</v>
      </c>
      <c r="AA21" s="136">
        <f t="shared" si="7"/>
        <v>0</v>
      </c>
      <c r="AB21" s="136">
        <f t="shared" si="8"/>
        <v>0</v>
      </c>
      <c r="AC21" s="136">
        <f t="shared" si="9"/>
        <v>0</v>
      </c>
      <c r="AD21" s="136">
        <f t="shared" si="10"/>
        <v>0</v>
      </c>
      <c r="AE21" s="136">
        <f t="shared" si="11"/>
        <v>0</v>
      </c>
      <c r="AF21" s="136">
        <f t="shared" si="12"/>
        <v>0</v>
      </c>
      <c r="AG21" s="24" t="s">
        <v>14</v>
      </c>
    </row>
    <row r="22" spans="1:33" x14ac:dyDescent="0.3">
      <c r="A22" s="78" t="s">
        <v>99</v>
      </c>
      <c r="B22" s="24">
        <v>81</v>
      </c>
      <c r="C22" s="24" t="s">
        <v>31</v>
      </c>
      <c r="D22" s="24">
        <v>0</v>
      </c>
      <c r="E22" s="24">
        <v>4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4" t="s">
        <v>14</v>
      </c>
      <c r="R22" s="78" t="s">
        <v>99</v>
      </c>
      <c r="S22" s="24">
        <v>81</v>
      </c>
      <c r="T22" s="24" t="s">
        <v>31</v>
      </c>
      <c r="U22" s="136">
        <f t="shared" si="1"/>
        <v>0</v>
      </c>
      <c r="V22" s="136">
        <f t="shared" si="2"/>
        <v>11.428571428571429</v>
      </c>
      <c r="W22" s="136">
        <f t="shared" si="3"/>
        <v>0</v>
      </c>
      <c r="X22" s="136">
        <f t="shared" si="4"/>
        <v>0</v>
      </c>
      <c r="Y22" s="136">
        <f t="shared" si="5"/>
        <v>0</v>
      </c>
      <c r="Z22" s="136">
        <f t="shared" si="6"/>
        <v>0</v>
      </c>
      <c r="AA22" s="136">
        <f t="shared" si="7"/>
        <v>0</v>
      </c>
      <c r="AB22" s="136">
        <f t="shared" si="8"/>
        <v>0</v>
      </c>
      <c r="AC22" s="136">
        <f t="shared" si="9"/>
        <v>0</v>
      </c>
      <c r="AD22" s="136">
        <f t="shared" si="10"/>
        <v>0</v>
      </c>
      <c r="AE22" s="136">
        <f t="shared" si="11"/>
        <v>0</v>
      </c>
      <c r="AF22" s="136">
        <f t="shared" si="12"/>
        <v>0</v>
      </c>
      <c r="AG22" s="24" t="s">
        <v>14</v>
      </c>
    </row>
    <row r="23" spans="1:33" x14ac:dyDescent="0.3">
      <c r="A23" s="78" t="s">
        <v>99</v>
      </c>
      <c r="B23" s="24">
        <v>82</v>
      </c>
      <c r="C23" s="24" t="s">
        <v>32</v>
      </c>
      <c r="D23" s="24">
        <v>0</v>
      </c>
      <c r="E23" s="24">
        <v>11</v>
      </c>
      <c r="F23" s="24">
        <v>0</v>
      </c>
      <c r="G23" s="24">
        <v>0</v>
      </c>
      <c r="H23" s="24">
        <v>0</v>
      </c>
      <c r="I23" s="24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4" t="s">
        <v>14</v>
      </c>
      <c r="R23" s="78" t="s">
        <v>99</v>
      </c>
      <c r="S23" s="24">
        <v>82</v>
      </c>
      <c r="T23" s="24" t="s">
        <v>32</v>
      </c>
      <c r="U23" s="136">
        <f t="shared" si="1"/>
        <v>0</v>
      </c>
      <c r="V23" s="136">
        <f t="shared" si="2"/>
        <v>31.428571428571431</v>
      </c>
      <c r="W23" s="136">
        <f t="shared" si="3"/>
        <v>0</v>
      </c>
      <c r="X23" s="136">
        <f t="shared" si="4"/>
        <v>0</v>
      </c>
      <c r="Y23" s="136">
        <f t="shared" si="5"/>
        <v>0</v>
      </c>
      <c r="Z23" s="136">
        <f t="shared" si="6"/>
        <v>0</v>
      </c>
      <c r="AA23" s="136">
        <f t="shared" si="7"/>
        <v>0</v>
      </c>
      <c r="AB23" s="136">
        <f t="shared" si="8"/>
        <v>0</v>
      </c>
      <c r="AC23" s="136">
        <f t="shared" si="9"/>
        <v>0</v>
      </c>
      <c r="AD23" s="136">
        <f t="shared" si="10"/>
        <v>0</v>
      </c>
      <c r="AE23" s="136">
        <f t="shared" si="11"/>
        <v>0</v>
      </c>
      <c r="AF23" s="136">
        <f t="shared" si="12"/>
        <v>0</v>
      </c>
      <c r="AG23" s="24" t="s">
        <v>14</v>
      </c>
    </row>
    <row r="24" spans="1:33" x14ac:dyDescent="0.3">
      <c r="A24" s="78" t="s">
        <v>100</v>
      </c>
      <c r="B24" s="24">
        <v>83</v>
      </c>
      <c r="C24" s="24" t="s">
        <v>26</v>
      </c>
      <c r="D24" s="24">
        <v>0</v>
      </c>
      <c r="E24" s="24">
        <v>0</v>
      </c>
      <c r="F24" s="24">
        <v>1</v>
      </c>
      <c r="G24" s="24">
        <v>0</v>
      </c>
      <c r="H24" s="24">
        <v>0</v>
      </c>
      <c r="I24" s="24">
        <v>0</v>
      </c>
      <c r="J24" s="25">
        <v>0</v>
      </c>
      <c r="K24" s="25">
        <v>2</v>
      </c>
      <c r="L24" s="25">
        <v>0</v>
      </c>
      <c r="M24" s="25">
        <v>0</v>
      </c>
      <c r="N24" s="25">
        <v>0</v>
      </c>
      <c r="O24" s="25">
        <v>0</v>
      </c>
      <c r="P24" s="24" t="s">
        <v>14</v>
      </c>
      <c r="R24" s="78" t="s">
        <v>100</v>
      </c>
      <c r="S24" s="24">
        <v>83</v>
      </c>
      <c r="T24" s="24" t="s">
        <v>26</v>
      </c>
      <c r="U24" s="136">
        <f t="shared" si="1"/>
        <v>0</v>
      </c>
      <c r="V24" s="136">
        <f t="shared" si="2"/>
        <v>0</v>
      </c>
      <c r="W24" s="136">
        <f t="shared" si="3"/>
        <v>2.8571428571428572</v>
      </c>
      <c r="X24" s="136">
        <f t="shared" si="4"/>
        <v>0</v>
      </c>
      <c r="Y24" s="136">
        <f t="shared" si="5"/>
        <v>0</v>
      </c>
      <c r="Z24" s="136">
        <f t="shared" si="6"/>
        <v>0</v>
      </c>
      <c r="AA24" s="136">
        <f t="shared" si="7"/>
        <v>0</v>
      </c>
      <c r="AB24" s="136">
        <f t="shared" si="8"/>
        <v>5.7142857142857144</v>
      </c>
      <c r="AC24" s="136">
        <f t="shared" si="9"/>
        <v>0</v>
      </c>
      <c r="AD24" s="136">
        <f t="shared" si="10"/>
        <v>0</v>
      </c>
      <c r="AE24" s="136">
        <f t="shared" si="11"/>
        <v>0</v>
      </c>
      <c r="AF24" s="136">
        <f t="shared" si="12"/>
        <v>0</v>
      </c>
      <c r="AG24" s="24" t="s">
        <v>14</v>
      </c>
    </row>
    <row r="25" spans="1:33" x14ac:dyDescent="0.3">
      <c r="A25" s="78" t="s">
        <v>100</v>
      </c>
      <c r="B25" s="24">
        <v>84</v>
      </c>
      <c r="C25" s="24" t="s">
        <v>41</v>
      </c>
      <c r="D25" s="24">
        <v>0</v>
      </c>
      <c r="E25" s="24">
        <v>0</v>
      </c>
      <c r="F25" s="24">
        <v>14</v>
      </c>
      <c r="G25" s="24">
        <v>2</v>
      </c>
      <c r="H25" s="24">
        <v>0</v>
      </c>
      <c r="I25" s="24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4" t="s">
        <v>14</v>
      </c>
      <c r="R25" s="78" t="s">
        <v>100</v>
      </c>
      <c r="S25" s="24">
        <v>84</v>
      </c>
      <c r="T25" s="24" t="s">
        <v>41</v>
      </c>
      <c r="U25" s="136">
        <f t="shared" si="1"/>
        <v>0</v>
      </c>
      <c r="V25" s="136">
        <f t="shared" si="2"/>
        <v>0</v>
      </c>
      <c r="W25" s="136">
        <f t="shared" si="3"/>
        <v>40</v>
      </c>
      <c r="X25" s="136">
        <f t="shared" si="4"/>
        <v>5.7142857142857144</v>
      </c>
      <c r="Y25" s="136">
        <f t="shared" si="5"/>
        <v>0</v>
      </c>
      <c r="Z25" s="136">
        <f t="shared" si="6"/>
        <v>0</v>
      </c>
      <c r="AA25" s="136">
        <f t="shared" si="7"/>
        <v>0</v>
      </c>
      <c r="AB25" s="136">
        <f t="shared" si="8"/>
        <v>0</v>
      </c>
      <c r="AC25" s="136">
        <f t="shared" si="9"/>
        <v>0</v>
      </c>
      <c r="AD25" s="136">
        <f t="shared" si="10"/>
        <v>0</v>
      </c>
      <c r="AE25" s="136">
        <f t="shared" si="11"/>
        <v>0</v>
      </c>
      <c r="AF25" s="136">
        <f t="shared" si="12"/>
        <v>0</v>
      </c>
      <c r="AG25" s="24" t="s">
        <v>14</v>
      </c>
    </row>
    <row r="26" spans="1:33" x14ac:dyDescent="0.3">
      <c r="A26" s="78" t="s">
        <v>100</v>
      </c>
      <c r="B26" s="24">
        <v>85</v>
      </c>
      <c r="C26" s="24" t="s">
        <v>48</v>
      </c>
      <c r="D26" s="24">
        <v>0</v>
      </c>
      <c r="E26" s="24">
        <v>0</v>
      </c>
      <c r="F26" s="24">
        <v>7</v>
      </c>
      <c r="G26" s="24">
        <v>0</v>
      </c>
      <c r="H26" s="24">
        <v>0</v>
      </c>
      <c r="I26" s="24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4" t="s">
        <v>14</v>
      </c>
      <c r="R26" s="78" t="s">
        <v>100</v>
      </c>
      <c r="S26" s="24">
        <v>85</v>
      </c>
      <c r="T26" s="24" t="s">
        <v>48</v>
      </c>
      <c r="U26" s="136">
        <f t="shared" si="1"/>
        <v>0</v>
      </c>
      <c r="V26" s="136">
        <f t="shared" si="2"/>
        <v>0</v>
      </c>
      <c r="W26" s="136">
        <f t="shared" si="3"/>
        <v>20</v>
      </c>
      <c r="X26" s="136">
        <f t="shared" si="4"/>
        <v>0</v>
      </c>
      <c r="Y26" s="136">
        <f t="shared" si="5"/>
        <v>0</v>
      </c>
      <c r="Z26" s="136">
        <f t="shared" si="6"/>
        <v>0</v>
      </c>
      <c r="AA26" s="136">
        <f t="shared" si="7"/>
        <v>0</v>
      </c>
      <c r="AB26" s="136">
        <f t="shared" si="8"/>
        <v>0</v>
      </c>
      <c r="AC26" s="136">
        <f t="shared" si="9"/>
        <v>0</v>
      </c>
      <c r="AD26" s="136">
        <f t="shared" si="10"/>
        <v>0</v>
      </c>
      <c r="AE26" s="136">
        <f t="shared" si="11"/>
        <v>0</v>
      </c>
      <c r="AF26" s="136">
        <f t="shared" si="12"/>
        <v>0</v>
      </c>
      <c r="AG26" s="24" t="s">
        <v>14</v>
      </c>
    </row>
    <row r="27" spans="1:33" x14ac:dyDescent="0.3">
      <c r="A27" s="78" t="s">
        <v>100</v>
      </c>
      <c r="B27" s="24">
        <v>86</v>
      </c>
      <c r="C27" s="24" t="s">
        <v>35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4" t="s">
        <v>14</v>
      </c>
      <c r="R27" s="78" t="s">
        <v>100</v>
      </c>
      <c r="S27" s="24">
        <v>86</v>
      </c>
      <c r="T27" s="24" t="s">
        <v>35</v>
      </c>
      <c r="U27" s="136">
        <f t="shared" si="1"/>
        <v>0</v>
      </c>
      <c r="V27" s="136">
        <f t="shared" si="2"/>
        <v>0</v>
      </c>
      <c r="W27" s="136">
        <f t="shared" si="3"/>
        <v>0</v>
      </c>
      <c r="X27" s="136">
        <f t="shared" si="4"/>
        <v>0</v>
      </c>
      <c r="Y27" s="136">
        <f t="shared" si="5"/>
        <v>0</v>
      </c>
      <c r="Z27" s="136">
        <f t="shared" si="6"/>
        <v>0</v>
      </c>
      <c r="AA27" s="136">
        <f t="shared" si="7"/>
        <v>0</v>
      </c>
      <c r="AB27" s="136">
        <f t="shared" si="8"/>
        <v>0</v>
      </c>
      <c r="AC27" s="136">
        <f t="shared" si="9"/>
        <v>0</v>
      </c>
      <c r="AD27" s="136">
        <f t="shared" si="10"/>
        <v>0</v>
      </c>
      <c r="AE27" s="136">
        <f t="shared" si="11"/>
        <v>0</v>
      </c>
      <c r="AF27" s="136">
        <f t="shared" si="12"/>
        <v>0</v>
      </c>
      <c r="AG27" s="24" t="s">
        <v>14</v>
      </c>
    </row>
    <row r="28" spans="1:33" x14ac:dyDescent="0.3">
      <c r="A28" s="78" t="s">
        <v>100</v>
      </c>
      <c r="B28" s="24">
        <v>87</v>
      </c>
      <c r="C28" s="24" t="s">
        <v>36</v>
      </c>
      <c r="D28" s="24">
        <v>0</v>
      </c>
      <c r="E28" s="26">
        <v>42</v>
      </c>
      <c r="F28" s="26">
        <v>0</v>
      </c>
      <c r="G28" s="24">
        <v>0</v>
      </c>
      <c r="H28" s="24">
        <v>0</v>
      </c>
      <c r="I28" s="24">
        <v>0</v>
      </c>
      <c r="J28" s="25">
        <v>0</v>
      </c>
      <c r="K28" s="54">
        <v>0</v>
      </c>
      <c r="L28" s="25">
        <v>0</v>
      </c>
      <c r="M28" s="25">
        <v>0</v>
      </c>
      <c r="N28" s="25">
        <v>0</v>
      </c>
      <c r="O28" s="25">
        <v>0</v>
      </c>
      <c r="P28" s="24" t="s">
        <v>14</v>
      </c>
      <c r="R28" s="78" t="s">
        <v>100</v>
      </c>
      <c r="S28" s="24">
        <v>87</v>
      </c>
      <c r="T28" s="24" t="s">
        <v>36</v>
      </c>
      <c r="U28" s="136">
        <f t="shared" si="1"/>
        <v>0</v>
      </c>
      <c r="V28" s="136">
        <f t="shared" si="2"/>
        <v>120.00000000000001</v>
      </c>
      <c r="W28" s="136">
        <f t="shared" si="3"/>
        <v>0</v>
      </c>
      <c r="X28" s="136">
        <f t="shared" si="4"/>
        <v>0</v>
      </c>
      <c r="Y28" s="136">
        <f t="shared" si="5"/>
        <v>0</v>
      </c>
      <c r="Z28" s="136">
        <f t="shared" si="6"/>
        <v>0</v>
      </c>
      <c r="AA28" s="136">
        <f t="shared" si="7"/>
        <v>0</v>
      </c>
      <c r="AB28" s="136">
        <f t="shared" si="8"/>
        <v>0</v>
      </c>
      <c r="AC28" s="136">
        <f t="shared" si="9"/>
        <v>0</v>
      </c>
      <c r="AD28" s="136">
        <f t="shared" si="10"/>
        <v>0</v>
      </c>
      <c r="AE28" s="136">
        <f t="shared" si="11"/>
        <v>0</v>
      </c>
      <c r="AF28" s="136">
        <f t="shared" si="12"/>
        <v>0</v>
      </c>
      <c r="AG28" s="24" t="s">
        <v>14</v>
      </c>
    </row>
    <row r="29" spans="1:33" x14ac:dyDescent="0.3">
      <c r="B29" s="38" t="s">
        <v>20</v>
      </c>
      <c r="C29" s="33" t="s">
        <v>9</v>
      </c>
      <c r="D29" s="38">
        <f>SUM(D4:D28)</f>
        <v>1</v>
      </c>
      <c r="E29" s="38">
        <f>SUM(E4:E28)</f>
        <v>87</v>
      </c>
      <c r="F29" s="38">
        <f t="shared" ref="F29:K29" si="13">SUM(F4:F28)</f>
        <v>38</v>
      </c>
      <c r="G29" s="38">
        <f t="shared" si="13"/>
        <v>7</v>
      </c>
      <c r="H29" s="38" t="s">
        <v>20</v>
      </c>
      <c r="I29" s="38" t="s">
        <v>20</v>
      </c>
      <c r="J29" s="38">
        <f t="shared" si="13"/>
        <v>5</v>
      </c>
      <c r="K29" s="38">
        <f t="shared" si="13"/>
        <v>33</v>
      </c>
      <c r="L29" s="38" t="s">
        <v>20</v>
      </c>
      <c r="M29" s="38" t="s">
        <v>20</v>
      </c>
      <c r="N29" s="38"/>
      <c r="O29" s="38"/>
      <c r="P29" s="36"/>
      <c r="S29" s="38" t="s">
        <v>20</v>
      </c>
      <c r="T29" s="33" t="s">
        <v>9</v>
      </c>
      <c r="U29" s="38">
        <v>3</v>
      </c>
      <c r="V29" s="38">
        <v>248</v>
      </c>
      <c r="W29" s="38">
        <f>SUM(W4:W28)</f>
        <v>108.57142857142856</v>
      </c>
      <c r="X29" s="38">
        <f>SUM(X4:X28)</f>
        <v>20</v>
      </c>
      <c r="Y29" s="38" t="s">
        <v>20</v>
      </c>
      <c r="Z29" s="38" t="s">
        <v>20</v>
      </c>
      <c r="AA29" s="38">
        <f>SUM(AA4:AA28)</f>
        <v>14.285714285714286</v>
      </c>
      <c r="AB29" s="38">
        <f>SUM(AB4:AB28)</f>
        <v>94.285714285714292</v>
      </c>
      <c r="AC29" s="38" t="s">
        <v>20</v>
      </c>
      <c r="AD29" s="38" t="s">
        <v>20</v>
      </c>
      <c r="AE29" s="38"/>
      <c r="AF29" s="38"/>
      <c r="AG29" s="36"/>
    </row>
    <row r="30" spans="1:33" s="19" customFormat="1" x14ac:dyDescent="0.3">
      <c r="B30" s="104" t="s">
        <v>20</v>
      </c>
      <c r="C30" s="38" t="s">
        <v>76</v>
      </c>
      <c r="D30" s="98">
        <f>D29/25</f>
        <v>0.04</v>
      </c>
      <c r="E30" s="98">
        <f t="shared" ref="E30:K30" si="14">E29/25</f>
        <v>3.48</v>
      </c>
      <c r="F30" s="98">
        <f t="shared" si="14"/>
        <v>1.52</v>
      </c>
      <c r="G30" s="98">
        <f t="shared" si="14"/>
        <v>0.28000000000000003</v>
      </c>
      <c r="H30" s="98" t="s">
        <v>20</v>
      </c>
      <c r="I30" s="98" t="s">
        <v>20</v>
      </c>
      <c r="J30" s="98">
        <f t="shared" si="14"/>
        <v>0.2</v>
      </c>
      <c r="K30" s="98">
        <f t="shared" si="14"/>
        <v>1.32</v>
      </c>
      <c r="L30" s="34"/>
      <c r="M30" s="34"/>
      <c r="N30" s="33"/>
      <c r="O30" s="34"/>
      <c r="P30" s="41"/>
      <c r="Q30" s="126"/>
      <c r="R30" s="126"/>
      <c r="S30" s="104" t="s">
        <v>20</v>
      </c>
      <c r="T30" s="38" t="s">
        <v>76</v>
      </c>
      <c r="U30" s="98">
        <f>U29/25</f>
        <v>0.12</v>
      </c>
      <c r="V30" s="98">
        <f>V29/25</f>
        <v>9.92</v>
      </c>
      <c r="W30" s="98">
        <f>W29/25</f>
        <v>4.3428571428571425</v>
      </c>
      <c r="X30" s="98">
        <f>X29/25</f>
        <v>0.8</v>
      </c>
      <c r="Y30" s="98" t="s">
        <v>20</v>
      </c>
      <c r="Z30" s="98" t="s">
        <v>20</v>
      </c>
      <c r="AA30" s="98">
        <f>AA29/25</f>
        <v>0.57142857142857151</v>
      </c>
      <c r="AB30" s="98">
        <f>AB29/25</f>
        <v>3.7714285714285718</v>
      </c>
      <c r="AC30" s="34"/>
      <c r="AD30" s="34"/>
      <c r="AE30" s="33"/>
      <c r="AF30" s="34"/>
      <c r="AG30" s="41"/>
    </row>
    <row r="31" spans="1:33" s="17" customFormat="1" ht="30.45" customHeight="1" x14ac:dyDescent="0.3">
      <c r="B31" s="42"/>
      <c r="C31" s="43" t="s">
        <v>73</v>
      </c>
      <c r="D31" s="99">
        <v>1</v>
      </c>
      <c r="E31" s="98">
        <f>89/9</f>
        <v>9.8888888888888893</v>
      </c>
      <c r="F31" s="100">
        <f>38/10</f>
        <v>3.8</v>
      </c>
      <c r="G31" s="101">
        <f>7/5</f>
        <v>1.4</v>
      </c>
      <c r="H31" s="102" t="s">
        <v>20</v>
      </c>
      <c r="I31" s="102"/>
      <c r="J31" s="103">
        <f>5/2</f>
        <v>2.5</v>
      </c>
      <c r="K31" s="100">
        <f>33/8</f>
        <v>4.125</v>
      </c>
      <c r="L31" s="38"/>
      <c r="M31" s="39"/>
      <c r="N31" s="38"/>
      <c r="O31" s="39"/>
      <c r="P31" s="48"/>
      <c r="Q31" s="127"/>
      <c r="R31" s="127"/>
      <c r="S31" s="42"/>
      <c r="T31" s="43" t="s">
        <v>73</v>
      </c>
      <c r="U31" s="99">
        <v>1</v>
      </c>
      <c r="V31" s="98">
        <f>V29/9</f>
        <v>27.555555555555557</v>
      </c>
      <c r="W31" s="100">
        <f>W29/10</f>
        <v>10.857142857142856</v>
      </c>
      <c r="X31" s="101">
        <f>X29/5</f>
        <v>4</v>
      </c>
      <c r="Y31" s="102" t="s">
        <v>20</v>
      </c>
      <c r="Z31" s="102"/>
      <c r="AA31" s="103">
        <f>AA29/2</f>
        <v>7.1428571428571432</v>
      </c>
      <c r="AB31" s="100">
        <f>AB29/8</f>
        <v>11.785714285714286</v>
      </c>
      <c r="AC31" s="38"/>
      <c r="AD31" s="39"/>
      <c r="AE31" s="38"/>
      <c r="AF31" s="39"/>
      <c r="AG31" s="48"/>
    </row>
    <row r="32" spans="1:33" ht="27" customHeight="1" x14ac:dyDescent="0.3">
      <c r="B32" s="3"/>
      <c r="G32" s="5"/>
      <c r="H32" s="5"/>
      <c r="I32" s="5"/>
      <c r="J32" s="5"/>
      <c r="K32" s="3"/>
      <c r="L32" s="3"/>
      <c r="M32" s="18"/>
    </row>
    <row r="33" spans="2:13" x14ac:dyDescent="0.3">
      <c r="B33" s="6"/>
      <c r="C33" s="49"/>
      <c r="G33" s="3"/>
      <c r="H33" s="3"/>
      <c r="I33" s="3"/>
      <c r="J33" s="3"/>
      <c r="K33" s="3"/>
      <c r="L33" s="3"/>
      <c r="M33" s="18"/>
    </row>
    <row r="34" spans="2:13" x14ac:dyDescent="0.3">
      <c r="B34" s="7"/>
      <c r="C34" s="49"/>
      <c r="G34" s="3"/>
      <c r="H34" s="3"/>
      <c r="I34" s="3"/>
      <c r="J34" s="3"/>
      <c r="K34" s="3"/>
      <c r="L34" s="3"/>
      <c r="M34" s="18"/>
    </row>
    <row r="35" spans="2:13" x14ac:dyDescent="0.3">
      <c r="B35" s="8"/>
      <c r="C35" s="49"/>
      <c r="G35" s="3"/>
      <c r="H35" s="3"/>
      <c r="I35" s="3"/>
      <c r="J35" s="3"/>
      <c r="K35" s="3"/>
      <c r="L35" s="3"/>
      <c r="M35" s="18"/>
    </row>
    <row r="36" spans="2:13" x14ac:dyDescent="0.3">
      <c r="B36" s="9"/>
      <c r="C36" s="49"/>
      <c r="G36" s="3"/>
      <c r="H36" s="3"/>
      <c r="I36" s="3"/>
      <c r="J36" s="3"/>
      <c r="K36" s="3"/>
      <c r="L36" s="3"/>
      <c r="M36" s="18"/>
    </row>
    <row r="37" spans="2:13" x14ac:dyDescent="0.3">
      <c r="B37" s="3"/>
      <c r="G37" s="3"/>
      <c r="H37" s="3"/>
      <c r="I37" s="3"/>
      <c r="J37" s="3"/>
      <c r="K37" s="3"/>
      <c r="L37" s="3"/>
      <c r="M37" s="18"/>
    </row>
  </sheetData>
  <pageMargins left="0.99803149599999996" right="0.39370078740157499" top="0.98425196850393704" bottom="0.98425196850393704" header="0.511811023622047" footer="0.511811023622047"/>
  <pageSetup orientation="portrait" horizontalDpi="300" verticalDpi="300" r:id="rId1"/>
  <headerFooter alignWithMargins="0">
    <oddHeader>&amp;LTable 1.  Summary of defoliators in 25 Permanent Sample Plots in the West Nelson Forest Region, 2002.</oddHeader>
    <oddFooter>&amp;L&amp;"Franklin Gothic Book,Regular"&amp;8JCH Forest Pest Management&amp;R&amp;"Franklin Gothic Book,Regular"&amp;8&amp;D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 tint="0.59999389629810485"/>
  </sheetPr>
  <dimension ref="A1:AG38"/>
  <sheetViews>
    <sheetView zoomScale="75" workbookViewId="0">
      <selection activeCell="U5" sqref="U5:U29"/>
    </sheetView>
  </sheetViews>
  <sheetFormatPr defaultColWidth="8.765625" defaultRowHeight="12.45" x14ac:dyDescent="0.3"/>
  <cols>
    <col min="2" max="2" width="4.69140625" style="1" customWidth="1"/>
    <col min="3" max="3" width="15.3046875" style="3" customWidth="1"/>
    <col min="4" max="6" width="5.4609375" customWidth="1"/>
    <col min="7" max="7" width="5.4609375" style="1" customWidth="1"/>
    <col min="8" max="12" width="5.4609375" customWidth="1"/>
    <col min="13" max="13" width="5.4609375" style="51" customWidth="1"/>
    <col min="14" max="16" width="5.4609375" customWidth="1"/>
    <col min="17" max="18" width="4.4609375" customWidth="1"/>
  </cols>
  <sheetData>
    <row r="1" spans="1:33" s="113" customFormat="1" ht="32.6" customHeight="1" x14ac:dyDescent="0.4">
      <c r="B1" s="113" t="s">
        <v>84</v>
      </c>
      <c r="C1" s="112"/>
      <c r="G1" s="114"/>
      <c r="M1" s="115"/>
      <c r="Q1" s="139"/>
      <c r="R1" s="139"/>
      <c r="S1" s="113" t="s">
        <v>81</v>
      </c>
    </row>
    <row r="2" spans="1:33" x14ac:dyDescent="0.3">
      <c r="B2" s="3"/>
      <c r="Q2" s="140"/>
      <c r="R2" s="140"/>
    </row>
    <row r="3" spans="1:33" s="3" customFormat="1" ht="28.2" customHeight="1" x14ac:dyDescent="0.4">
      <c r="D3" s="12"/>
      <c r="E3" s="13"/>
      <c r="F3" s="14"/>
      <c r="G3" s="11"/>
      <c r="H3" s="13"/>
      <c r="I3" s="13"/>
      <c r="J3" s="13"/>
      <c r="K3" s="13"/>
      <c r="L3" s="13"/>
      <c r="M3" s="10"/>
      <c r="N3" s="13"/>
      <c r="O3" s="13"/>
      <c r="P3" s="14"/>
      <c r="Q3" s="141"/>
      <c r="R3" s="141"/>
      <c r="U3" s="12"/>
      <c r="V3" s="13"/>
      <c r="W3" s="14"/>
      <c r="X3" s="11"/>
      <c r="Y3" s="13"/>
      <c r="Z3" s="13"/>
      <c r="AA3" s="13"/>
      <c r="AB3" s="13"/>
      <c r="AC3" s="13"/>
      <c r="AD3" s="10"/>
      <c r="AE3" s="13"/>
      <c r="AF3" s="13"/>
      <c r="AG3" s="14"/>
    </row>
    <row r="4" spans="1:33" s="2" customFormat="1" ht="174.45" customHeight="1" x14ac:dyDescent="0.3">
      <c r="A4" s="2" t="s">
        <v>98</v>
      </c>
      <c r="B4" s="20" t="s">
        <v>0</v>
      </c>
      <c r="C4" s="20" t="s">
        <v>25</v>
      </c>
      <c r="D4" s="21" t="s">
        <v>5</v>
      </c>
      <c r="E4" s="21" t="s">
        <v>6</v>
      </c>
      <c r="F4" s="21" t="s">
        <v>1</v>
      </c>
      <c r="G4" s="21" t="s">
        <v>7</v>
      </c>
      <c r="H4" s="21" t="s">
        <v>4</v>
      </c>
      <c r="I4" s="21" t="s">
        <v>3</v>
      </c>
      <c r="J4" s="22" t="s">
        <v>2</v>
      </c>
      <c r="K4" s="21" t="s">
        <v>59</v>
      </c>
      <c r="L4" s="22" t="s">
        <v>60</v>
      </c>
      <c r="M4" s="22" t="s">
        <v>18</v>
      </c>
      <c r="N4" s="21" t="s">
        <v>12</v>
      </c>
      <c r="O4" s="21" t="s">
        <v>57</v>
      </c>
      <c r="P4" s="21" t="s">
        <v>13</v>
      </c>
      <c r="Q4" s="142"/>
      <c r="R4" s="159" t="s">
        <v>98</v>
      </c>
      <c r="S4" s="20" t="s">
        <v>0</v>
      </c>
      <c r="T4" s="20" t="s">
        <v>25</v>
      </c>
      <c r="U4" s="21" t="s">
        <v>5</v>
      </c>
      <c r="V4" s="21" t="s">
        <v>6</v>
      </c>
      <c r="W4" s="21" t="s">
        <v>1</v>
      </c>
      <c r="X4" s="21" t="s">
        <v>7</v>
      </c>
      <c r="Y4" s="21" t="s">
        <v>4</v>
      </c>
      <c r="Z4" s="21" t="s">
        <v>3</v>
      </c>
      <c r="AA4" s="22" t="s">
        <v>2</v>
      </c>
      <c r="AB4" s="21" t="s">
        <v>59</v>
      </c>
      <c r="AC4" s="22" t="s">
        <v>60</v>
      </c>
      <c r="AD4" s="22" t="s">
        <v>18</v>
      </c>
      <c r="AE4" s="21" t="s">
        <v>12</v>
      </c>
      <c r="AF4" s="21" t="s">
        <v>57</v>
      </c>
      <c r="AG4" s="21" t="s">
        <v>13</v>
      </c>
    </row>
    <row r="5" spans="1:33" x14ac:dyDescent="0.3">
      <c r="A5" s="78" t="s">
        <v>99</v>
      </c>
      <c r="B5" s="24">
        <v>30</v>
      </c>
      <c r="C5" s="24" t="s">
        <v>42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6" t="s">
        <v>14</v>
      </c>
      <c r="Q5" s="143"/>
      <c r="R5" s="78" t="s">
        <v>99</v>
      </c>
      <c r="S5" s="24">
        <v>30</v>
      </c>
      <c r="T5" s="24" t="s">
        <v>42</v>
      </c>
      <c r="U5" s="136">
        <f>D5/0.35</f>
        <v>0</v>
      </c>
      <c r="V5" s="136">
        <f t="shared" ref="V5:AF5" si="0">E5/0.35</f>
        <v>0</v>
      </c>
      <c r="W5" s="136">
        <f t="shared" si="0"/>
        <v>0</v>
      </c>
      <c r="X5" s="136">
        <f t="shared" si="0"/>
        <v>0</v>
      </c>
      <c r="Y5" s="136">
        <f t="shared" si="0"/>
        <v>0</v>
      </c>
      <c r="Z5" s="136">
        <f t="shared" si="0"/>
        <v>0</v>
      </c>
      <c r="AA5" s="136">
        <f t="shared" si="0"/>
        <v>0</v>
      </c>
      <c r="AB5" s="136">
        <f t="shared" si="0"/>
        <v>0</v>
      </c>
      <c r="AC5" s="136">
        <f t="shared" si="0"/>
        <v>0</v>
      </c>
      <c r="AD5" s="136">
        <f t="shared" si="0"/>
        <v>0</v>
      </c>
      <c r="AE5" s="136">
        <f t="shared" si="0"/>
        <v>0</v>
      </c>
      <c r="AF5" s="136">
        <f t="shared" si="0"/>
        <v>0</v>
      </c>
      <c r="AG5" s="26" t="s">
        <v>14</v>
      </c>
    </row>
    <row r="6" spans="1:33" x14ac:dyDescent="0.3">
      <c r="A6" s="78" t="s">
        <v>99</v>
      </c>
      <c r="B6" s="24">
        <v>38</v>
      </c>
      <c r="C6" s="24" t="s">
        <v>43</v>
      </c>
      <c r="D6" s="24">
        <v>0</v>
      </c>
      <c r="E6" s="24">
        <v>0</v>
      </c>
      <c r="F6" s="24">
        <v>1</v>
      </c>
      <c r="G6" s="24">
        <v>2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6" t="s">
        <v>14</v>
      </c>
      <c r="Q6" s="140"/>
      <c r="R6" s="78" t="s">
        <v>99</v>
      </c>
      <c r="S6" s="24">
        <v>38</v>
      </c>
      <c r="T6" s="24" t="s">
        <v>43</v>
      </c>
      <c r="U6" s="136">
        <f t="shared" ref="U6:U29" si="1">D6/0.35</f>
        <v>0</v>
      </c>
      <c r="V6" s="136">
        <f t="shared" ref="V6:V29" si="2">E6/0.35</f>
        <v>0</v>
      </c>
      <c r="W6" s="136">
        <f t="shared" ref="W6:W29" si="3">F6/0.35</f>
        <v>2.8571428571428572</v>
      </c>
      <c r="X6" s="136">
        <f t="shared" ref="X6:X29" si="4">G6/0.35</f>
        <v>5.7142857142857144</v>
      </c>
      <c r="Y6" s="136">
        <f t="shared" ref="Y6:Y29" si="5">H6/0.35</f>
        <v>0</v>
      </c>
      <c r="Z6" s="136">
        <f t="shared" ref="Z6:Z29" si="6">I6/0.35</f>
        <v>0</v>
      </c>
      <c r="AA6" s="136">
        <f t="shared" ref="AA6:AA29" si="7">J6/0.35</f>
        <v>0</v>
      </c>
      <c r="AB6" s="136">
        <f t="shared" ref="AB6:AB29" si="8">K6/0.35</f>
        <v>0</v>
      </c>
      <c r="AC6" s="136">
        <f t="shared" ref="AC6:AC29" si="9">L6/0.35</f>
        <v>0</v>
      </c>
      <c r="AD6" s="136">
        <f t="shared" ref="AD6:AD29" si="10">M6/0.35</f>
        <v>0</v>
      </c>
      <c r="AE6" s="136">
        <f t="shared" ref="AE6:AE29" si="11">N6/0.35</f>
        <v>0</v>
      </c>
      <c r="AF6" s="136">
        <f t="shared" ref="AF6:AF29" si="12">O6/0.35</f>
        <v>0</v>
      </c>
      <c r="AG6" s="26" t="s">
        <v>14</v>
      </c>
    </row>
    <row r="7" spans="1:33" x14ac:dyDescent="0.3">
      <c r="A7" s="78" t="s">
        <v>99</v>
      </c>
      <c r="B7" s="24">
        <v>58</v>
      </c>
      <c r="C7" s="24" t="s">
        <v>44</v>
      </c>
      <c r="D7" s="24">
        <v>0</v>
      </c>
      <c r="E7" s="24">
        <v>0</v>
      </c>
      <c r="F7" s="24">
        <v>0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6" t="s">
        <v>14</v>
      </c>
      <c r="Q7" s="140"/>
      <c r="R7" s="78" t="s">
        <v>99</v>
      </c>
      <c r="S7" s="24">
        <v>58</v>
      </c>
      <c r="T7" s="24" t="s">
        <v>44</v>
      </c>
      <c r="U7" s="136">
        <f t="shared" si="1"/>
        <v>0</v>
      </c>
      <c r="V7" s="136">
        <f t="shared" si="2"/>
        <v>0</v>
      </c>
      <c r="W7" s="136">
        <f t="shared" si="3"/>
        <v>0</v>
      </c>
      <c r="X7" s="136">
        <f t="shared" si="4"/>
        <v>2.8571428571428572</v>
      </c>
      <c r="Y7" s="136">
        <f t="shared" si="5"/>
        <v>0</v>
      </c>
      <c r="Z7" s="136">
        <f t="shared" si="6"/>
        <v>0</v>
      </c>
      <c r="AA7" s="136">
        <f t="shared" si="7"/>
        <v>0</v>
      </c>
      <c r="AB7" s="136">
        <f t="shared" si="8"/>
        <v>0</v>
      </c>
      <c r="AC7" s="136">
        <f t="shared" si="9"/>
        <v>0</v>
      </c>
      <c r="AD7" s="136">
        <f t="shared" si="10"/>
        <v>0</v>
      </c>
      <c r="AE7" s="136">
        <f t="shared" si="11"/>
        <v>0</v>
      </c>
      <c r="AF7" s="136">
        <f t="shared" si="12"/>
        <v>0</v>
      </c>
      <c r="AG7" s="26" t="s">
        <v>14</v>
      </c>
    </row>
    <row r="8" spans="1:33" x14ac:dyDescent="0.3">
      <c r="A8" s="78" t="s">
        <v>99</v>
      </c>
      <c r="B8" s="24">
        <v>61</v>
      </c>
      <c r="C8" s="24" t="s">
        <v>45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6" t="s">
        <v>14</v>
      </c>
      <c r="Q8" s="140"/>
      <c r="R8" s="78" t="s">
        <v>99</v>
      </c>
      <c r="S8" s="24">
        <v>61</v>
      </c>
      <c r="T8" s="24" t="s">
        <v>45</v>
      </c>
      <c r="U8" s="136">
        <f t="shared" si="1"/>
        <v>0</v>
      </c>
      <c r="V8" s="136">
        <f t="shared" si="2"/>
        <v>0</v>
      </c>
      <c r="W8" s="136">
        <f t="shared" si="3"/>
        <v>0</v>
      </c>
      <c r="X8" s="136">
        <f t="shared" si="4"/>
        <v>0</v>
      </c>
      <c r="Y8" s="136">
        <f t="shared" si="5"/>
        <v>0</v>
      </c>
      <c r="Z8" s="136">
        <f t="shared" si="6"/>
        <v>0</v>
      </c>
      <c r="AA8" s="136">
        <f t="shared" si="7"/>
        <v>0</v>
      </c>
      <c r="AB8" s="136">
        <f t="shared" si="8"/>
        <v>0</v>
      </c>
      <c r="AC8" s="136">
        <f t="shared" si="9"/>
        <v>0</v>
      </c>
      <c r="AD8" s="136">
        <f t="shared" si="10"/>
        <v>0</v>
      </c>
      <c r="AE8" s="136">
        <f t="shared" si="11"/>
        <v>0</v>
      </c>
      <c r="AF8" s="136">
        <f t="shared" si="12"/>
        <v>0</v>
      </c>
      <c r="AG8" s="26" t="s">
        <v>14</v>
      </c>
    </row>
    <row r="9" spans="1:33" x14ac:dyDescent="0.3">
      <c r="A9" s="78" t="s">
        <v>99</v>
      </c>
      <c r="B9" s="24">
        <v>62</v>
      </c>
      <c r="C9" s="24" t="s">
        <v>46</v>
      </c>
      <c r="D9" s="24">
        <v>1</v>
      </c>
      <c r="E9" s="24">
        <v>0</v>
      </c>
      <c r="F9" s="24">
        <v>0</v>
      </c>
      <c r="G9" s="24">
        <v>0</v>
      </c>
      <c r="H9" s="24">
        <v>1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6" t="s">
        <v>14</v>
      </c>
      <c r="Q9" s="140"/>
      <c r="R9" s="78" t="s">
        <v>99</v>
      </c>
      <c r="S9" s="24">
        <v>62</v>
      </c>
      <c r="T9" s="24" t="s">
        <v>46</v>
      </c>
      <c r="U9" s="136">
        <f t="shared" si="1"/>
        <v>2.8571428571428572</v>
      </c>
      <c r="V9" s="136">
        <f t="shared" si="2"/>
        <v>0</v>
      </c>
      <c r="W9" s="136">
        <f t="shared" si="3"/>
        <v>0</v>
      </c>
      <c r="X9" s="136">
        <f t="shared" si="4"/>
        <v>0</v>
      </c>
      <c r="Y9" s="136">
        <f t="shared" si="5"/>
        <v>2.8571428571428572</v>
      </c>
      <c r="Z9" s="136">
        <f t="shared" si="6"/>
        <v>0</v>
      </c>
      <c r="AA9" s="136">
        <f t="shared" si="7"/>
        <v>0</v>
      </c>
      <c r="AB9" s="136">
        <f t="shared" si="8"/>
        <v>0</v>
      </c>
      <c r="AC9" s="136">
        <f t="shared" si="9"/>
        <v>0</v>
      </c>
      <c r="AD9" s="136">
        <f t="shared" si="10"/>
        <v>0</v>
      </c>
      <c r="AE9" s="136">
        <f t="shared" si="11"/>
        <v>0</v>
      </c>
      <c r="AF9" s="136">
        <f t="shared" si="12"/>
        <v>0</v>
      </c>
      <c r="AG9" s="26" t="s">
        <v>14</v>
      </c>
    </row>
    <row r="10" spans="1:33" x14ac:dyDescent="0.3">
      <c r="A10" s="78" t="s">
        <v>99</v>
      </c>
      <c r="B10" s="24">
        <v>65</v>
      </c>
      <c r="C10" s="24" t="s">
        <v>47</v>
      </c>
      <c r="D10" s="24">
        <v>1</v>
      </c>
      <c r="E10" s="24">
        <v>0</v>
      </c>
      <c r="F10" s="24">
        <v>0</v>
      </c>
      <c r="G10" s="24">
        <v>2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6" t="s">
        <v>14</v>
      </c>
      <c r="Q10" s="140"/>
      <c r="R10" s="78" t="s">
        <v>99</v>
      </c>
      <c r="S10" s="24">
        <v>65</v>
      </c>
      <c r="T10" s="24" t="s">
        <v>47</v>
      </c>
      <c r="U10" s="136">
        <f t="shared" si="1"/>
        <v>2.8571428571428572</v>
      </c>
      <c r="V10" s="136">
        <f t="shared" si="2"/>
        <v>0</v>
      </c>
      <c r="W10" s="136">
        <f t="shared" si="3"/>
        <v>0</v>
      </c>
      <c r="X10" s="136">
        <f t="shared" si="4"/>
        <v>5.7142857142857144</v>
      </c>
      <c r="Y10" s="136">
        <f t="shared" si="5"/>
        <v>0</v>
      </c>
      <c r="Z10" s="136">
        <f t="shared" si="6"/>
        <v>0</v>
      </c>
      <c r="AA10" s="136">
        <f t="shared" si="7"/>
        <v>0</v>
      </c>
      <c r="AB10" s="136">
        <f t="shared" si="8"/>
        <v>0</v>
      </c>
      <c r="AC10" s="136">
        <f t="shared" si="9"/>
        <v>0</v>
      </c>
      <c r="AD10" s="136">
        <f t="shared" si="10"/>
        <v>0</v>
      </c>
      <c r="AE10" s="136">
        <f t="shared" si="11"/>
        <v>0</v>
      </c>
      <c r="AF10" s="136">
        <f t="shared" si="12"/>
        <v>0</v>
      </c>
      <c r="AG10" s="26" t="s">
        <v>14</v>
      </c>
    </row>
    <row r="11" spans="1:33" x14ac:dyDescent="0.3">
      <c r="A11" s="78" t="s">
        <v>100</v>
      </c>
      <c r="B11" s="24">
        <v>66</v>
      </c>
      <c r="C11" s="24" t="s">
        <v>52</v>
      </c>
      <c r="D11" s="24">
        <v>11</v>
      </c>
      <c r="E11" s="24">
        <v>0</v>
      </c>
      <c r="F11" s="24">
        <v>6</v>
      </c>
      <c r="G11" s="24">
        <v>2</v>
      </c>
      <c r="H11" s="24">
        <v>0</v>
      </c>
      <c r="I11" s="24">
        <v>0</v>
      </c>
      <c r="J11" s="24">
        <v>0</v>
      </c>
      <c r="K11" s="25">
        <v>1</v>
      </c>
      <c r="L11" s="24">
        <v>0</v>
      </c>
      <c r="M11" s="24">
        <v>0</v>
      </c>
      <c r="N11" s="24">
        <v>0</v>
      </c>
      <c r="O11" s="24">
        <v>0</v>
      </c>
      <c r="P11" s="26" t="s">
        <v>14</v>
      </c>
      <c r="Q11" s="140"/>
      <c r="R11" s="78" t="s">
        <v>100</v>
      </c>
      <c r="S11" s="24">
        <v>66</v>
      </c>
      <c r="T11" s="24" t="s">
        <v>52</v>
      </c>
      <c r="U11" s="136">
        <f t="shared" si="1"/>
        <v>31.428571428571431</v>
      </c>
      <c r="V11" s="136">
        <f t="shared" si="2"/>
        <v>0</v>
      </c>
      <c r="W11" s="136">
        <f t="shared" si="3"/>
        <v>17.142857142857142</v>
      </c>
      <c r="X11" s="136">
        <f t="shared" si="4"/>
        <v>5.7142857142857144</v>
      </c>
      <c r="Y11" s="136">
        <f t="shared" si="5"/>
        <v>0</v>
      </c>
      <c r="Z11" s="136">
        <f t="shared" si="6"/>
        <v>0</v>
      </c>
      <c r="AA11" s="136">
        <f t="shared" si="7"/>
        <v>0</v>
      </c>
      <c r="AB11" s="136">
        <f t="shared" si="8"/>
        <v>2.8571428571428572</v>
      </c>
      <c r="AC11" s="136">
        <f t="shared" si="9"/>
        <v>0</v>
      </c>
      <c r="AD11" s="136">
        <f t="shared" si="10"/>
        <v>0</v>
      </c>
      <c r="AE11" s="136">
        <f t="shared" si="11"/>
        <v>0</v>
      </c>
      <c r="AF11" s="136">
        <f t="shared" si="12"/>
        <v>0</v>
      </c>
      <c r="AG11" s="26" t="s">
        <v>14</v>
      </c>
    </row>
    <row r="12" spans="1:33" x14ac:dyDescent="0.3">
      <c r="A12" s="78" t="s">
        <v>100</v>
      </c>
      <c r="B12" s="24">
        <v>69</v>
      </c>
      <c r="C12" s="24" t="s">
        <v>33</v>
      </c>
      <c r="D12" s="24">
        <v>0</v>
      </c>
      <c r="E12" s="24">
        <v>0</v>
      </c>
      <c r="F12" s="24">
        <v>2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6" t="s">
        <v>14</v>
      </c>
      <c r="Q12" s="140"/>
      <c r="R12" s="78" t="s">
        <v>100</v>
      </c>
      <c r="S12" s="24">
        <v>69</v>
      </c>
      <c r="T12" s="24" t="s">
        <v>33</v>
      </c>
      <c r="U12" s="136">
        <f t="shared" si="1"/>
        <v>0</v>
      </c>
      <c r="V12" s="136">
        <f t="shared" si="2"/>
        <v>0</v>
      </c>
      <c r="W12" s="136">
        <f t="shared" si="3"/>
        <v>5.7142857142857144</v>
      </c>
      <c r="X12" s="136">
        <f t="shared" si="4"/>
        <v>0</v>
      </c>
      <c r="Y12" s="136">
        <f t="shared" si="5"/>
        <v>0</v>
      </c>
      <c r="Z12" s="136">
        <f t="shared" si="6"/>
        <v>0</v>
      </c>
      <c r="AA12" s="136">
        <f t="shared" si="7"/>
        <v>0</v>
      </c>
      <c r="AB12" s="136">
        <f t="shared" si="8"/>
        <v>0</v>
      </c>
      <c r="AC12" s="136">
        <f t="shared" si="9"/>
        <v>0</v>
      </c>
      <c r="AD12" s="136">
        <f t="shared" si="10"/>
        <v>0</v>
      </c>
      <c r="AE12" s="136">
        <f t="shared" si="11"/>
        <v>0</v>
      </c>
      <c r="AF12" s="136">
        <f t="shared" si="12"/>
        <v>0</v>
      </c>
      <c r="AG12" s="26" t="s">
        <v>14</v>
      </c>
    </row>
    <row r="13" spans="1:33" x14ac:dyDescent="0.3">
      <c r="A13" s="78" t="s">
        <v>99</v>
      </c>
      <c r="B13" s="24">
        <v>70</v>
      </c>
      <c r="C13" s="24" t="s">
        <v>27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6" t="s">
        <v>14</v>
      </c>
      <c r="Q13" s="140"/>
      <c r="R13" s="78" t="s">
        <v>99</v>
      </c>
      <c r="S13" s="24">
        <v>70</v>
      </c>
      <c r="T13" s="24" t="s">
        <v>27</v>
      </c>
      <c r="U13" s="136">
        <f t="shared" si="1"/>
        <v>0</v>
      </c>
      <c r="V13" s="136">
        <f t="shared" si="2"/>
        <v>0</v>
      </c>
      <c r="W13" s="136">
        <f t="shared" si="3"/>
        <v>0</v>
      </c>
      <c r="X13" s="136">
        <f t="shared" si="4"/>
        <v>0</v>
      </c>
      <c r="Y13" s="136">
        <f t="shared" si="5"/>
        <v>0</v>
      </c>
      <c r="Z13" s="136">
        <f t="shared" si="6"/>
        <v>0</v>
      </c>
      <c r="AA13" s="136">
        <f t="shared" si="7"/>
        <v>0</v>
      </c>
      <c r="AB13" s="136">
        <f t="shared" si="8"/>
        <v>0</v>
      </c>
      <c r="AC13" s="136">
        <f t="shared" si="9"/>
        <v>0</v>
      </c>
      <c r="AD13" s="136">
        <f t="shared" si="10"/>
        <v>0</v>
      </c>
      <c r="AE13" s="136">
        <f t="shared" si="11"/>
        <v>0</v>
      </c>
      <c r="AF13" s="136">
        <f t="shared" si="12"/>
        <v>0</v>
      </c>
      <c r="AG13" s="26" t="s">
        <v>14</v>
      </c>
    </row>
    <row r="14" spans="1:33" x14ac:dyDescent="0.3">
      <c r="A14" s="78" t="s">
        <v>99</v>
      </c>
      <c r="B14" s="24">
        <v>71</v>
      </c>
      <c r="C14" s="24" t="s">
        <v>28</v>
      </c>
      <c r="D14" s="24">
        <v>1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5">
        <v>1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6" t="s">
        <v>14</v>
      </c>
      <c r="Q14" s="140"/>
      <c r="R14" s="78" t="s">
        <v>99</v>
      </c>
      <c r="S14" s="24">
        <v>71</v>
      </c>
      <c r="T14" s="24" t="s">
        <v>28</v>
      </c>
      <c r="U14" s="136">
        <f t="shared" si="1"/>
        <v>2.8571428571428572</v>
      </c>
      <c r="V14" s="136">
        <f t="shared" si="2"/>
        <v>0</v>
      </c>
      <c r="W14" s="136">
        <f t="shared" si="3"/>
        <v>0</v>
      </c>
      <c r="X14" s="136">
        <f t="shared" si="4"/>
        <v>0</v>
      </c>
      <c r="Y14" s="136">
        <f t="shared" si="5"/>
        <v>0</v>
      </c>
      <c r="Z14" s="136">
        <f t="shared" si="6"/>
        <v>0</v>
      </c>
      <c r="AA14" s="136">
        <f t="shared" si="7"/>
        <v>2.8571428571428572</v>
      </c>
      <c r="AB14" s="136">
        <f t="shared" si="8"/>
        <v>0</v>
      </c>
      <c r="AC14" s="136">
        <f t="shared" si="9"/>
        <v>0</v>
      </c>
      <c r="AD14" s="136">
        <f t="shared" si="10"/>
        <v>0</v>
      </c>
      <c r="AE14" s="136">
        <f t="shared" si="11"/>
        <v>0</v>
      </c>
      <c r="AF14" s="136">
        <f t="shared" si="12"/>
        <v>0</v>
      </c>
      <c r="AG14" s="26" t="s">
        <v>14</v>
      </c>
    </row>
    <row r="15" spans="1:33" x14ac:dyDescent="0.3">
      <c r="A15" s="78" t="s">
        <v>100</v>
      </c>
      <c r="B15" s="24">
        <v>72</v>
      </c>
      <c r="C15" s="24" t="s">
        <v>34</v>
      </c>
      <c r="D15" s="24">
        <v>36</v>
      </c>
      <c r="E15" s="24">
        <v>0</v>
      </c>
      <c r="F15" s="24">
        <v>23</v>
      </c>
      <c r="G15" s="24">
        <v>0</v>
      </c>
      <c r="H15" s="24">
        <v>0</v>
      </c>
      <c r="I15" s="24">
        <v>0</v>
      </c>
      <c r="J15" s="25">
        <v>2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6" t="s">
        <v>14</v>
      </c>
      <c r="Q15" s="140"/>
      <c r="R15" s="78" t="s">
        <v>100</v>
      </c>
      <c r="S15" s="24">
        <v>72</v>
      </c>
      <c r="T15" s="24" t="s">
        <v>34</v>
      </c>
      <c r="U15" s="136">
        <f t="shared" si="1"/>
        <v>102.85714285714286</v>
      </c>
      <c r="V15" s="136">
        <f t="shared" si="2"/>
        <v>0</v>
      </c>
      <c r="W15" s="136">
        <f t="shared" si="3"/>
        <v>65.714285714285722</v>
      </c>
      <c r="X15" s="136">
        <f t="shared" si="4"/>
        <v>0</v>
      </c>
      <c r="Y15" s="136">
        <f t="shared" si="5"/>
        <v>0</v>
      </c>
      <c r="Z15" s="136">
        <f t="shared" si="6"/>
        <v>0</v>
      </c>
      <c r="AA15" s="136">
        <f t="shared" si="7"/>
        <v>5.7142857142857144</v>
      </c>
      <c r="AB15" s="136">
        <f t="shared" si="8"/>
        <v>0</v>
      </c>
      <c r="AC15" s="136">
        <f t="shared" si="9"/>
        <v>0</v>
      </c>
      <c r="AD15" s="136">
        <f t="shared" si="10"/>
        <v>0</v>
      </c>
      <c r="AE15" s="136">
        <f t="shared" si="11"/>
        <v>0</v>
      </c>
      <c r="AF15" s="136">
        <f t="shared" si="12"/>
        <v>0</v>
      </c>
      <c r="AG15" s="26" t="s">
        <v>14</v>
      </c>
    </row>
    <row r="16" spans="1:33" x14ac:dyDescent="0.3">
      <c r="A16" s="78" t="s">
        <v>100</v>
      </c>
      <c r="B16" s="24">
        <v>73</v>
      </c>
      <c r="C16" s="24" t="s">
        <v>50</v>
      </c>
      <c r="D16" s="24">
        <v>34</v>
      </c>
      <c r="E16" s="24">
        <v>0</v>
      </c>
      <c r="F16" s="24">
        <v>0</v>
      </c>
      <c r="G16" s="24">
        <v>7</v>
      </c>
      <c r="H16" s="24">
        <v>0</v>
      </c>
      <c r="I16" s="24">
        <v>0</v>
      </c>
      <c r="J16" s="25">
        <v>3</v>
      </c>
      <c r="K16" s="25">
        <v>3</v>
      </c>
      <c r="L16" s="24">
        <v>0</v>
      </c>
      <c r="M16" s="24">
        <v>0</v>
      </c>
      <c r="N16" s="24">
        <v>0</v>
      </c>
      <c r="O16" s="24">
        <v>0</v>
      </c>
      <c r="P16" s="26" t="s">
        <v>14</v>
      </c>
      <c r="Q16" s="140"/>
      <c r="R16" s="78" t="s">
        <v>100</v>
      </c>
      <c r="S16" s="24">
        <v>73</v>
      </c>
      <c r="T16" s="24" t="s">
        <v>50</v>
      </c>
      <c r="U16" s="136">
        <f t="shared" si="1"/>
        <v>97.142857142857153</v>
      </c>
      <c r="V16" s="136">
        <f t="shared" si="2"/>
        <v>0</v>
      </c>
      <c r="W16" s="136">
        <f t="shared" si="3"/>
        <v>0</v>
      </c>
      <c r="X16" s="136">
        <f t="shared" si="4"/>
        <v>20</v>
      </c>
      <c r="Y16" s="136">
        <f t="shared" si="5"/>
        <v>0</v>
      </c>
      <c r="Z16" s="136">
        <f t="shared" si="6"/>
        <v>0</v>
      </c>
      <c r="AA16" s="136">
        <f t="shared" si="7"/>
        <v>8.5714285714285712</v>
      </c>
      <c r="AB16" s="136">
        <f t="shared" si="8"/>
        <v>8.5714285714285712</v>
      </c>
      <c r="AC16" s="136">
        <f t="shared" si="9"/>
        <v>0</v>
      </c>
      <c r="AD16" s="136">
        <f t="shared" si="10"/>
        <v>0</v>
      </c>
      <c r="AE16" s="136">
        <f t="shared" si="11"/>
        <v>0</v>
      </c>
      <c r="AF16" s="136">
        <f t="shared" si="12"/>
        <v>0</v>
      </c>
      <c r="AG16" s="26" t="s">
        <v>14</v>
      </c>
    </row>
    <row r="17" spans="1:33" x14ac:dyDescent="0.3">
      <c r="A17" s="78" t="s">
        <v>100</v>
      </c>
      <c r="B17" s="24">
        <v>74</v>
      </c>
      <c r="C17" s="24" t="s">
        <v>37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6" t="s">
        <v>14</v>
      </c>
      <c r="Q17" s="140"/>
      <c r="R17" s="78" t="s">
        <v>100</v>
      </c>
      <c r="S17" s="24">
        <v>74</v>
      </c>
      <c r="T17" s="24" t="s">
        <v>37</v>
      </c>
      <c r="U17" s="136">
        <f t="shared" si="1"/>
        <v>0</v>
      </c>
      <c r="V17" s="136">
        <f t="shared" si="2"/>
        <v>0</v>
      </c>
      <c r="W17" s="136">
        <f t="shared" si="3"/>
        <v>0</v>
      </c>
      <c r="X17" s="136">
        <f t="shared" si="4"/>
        <v>0</v>
      </c>
      <c r="Y17" s="136">
        <f t="shared" si="5"/>
        <v>0</v>
      </c>
      <c r="Z17" s="136">
        <f t="shared" si="6"/>
        <v>0</v>
      </c>
      <c r="AA17" s="136">
        <f t="shared" si="7"/>
        <v>0</v>
      </c>
      <c r="AB17" s="136">
        <f t="shared" si="8"/>
        <v>0</v>
      </c>
      <c r="AC17" s="136">
        <f t="shared" si="9"/>
        <v>0</v>
      </c>
      <c r="AD17" s="136">
        <f t="shared" si="10"/>
        <v>0</v>
      </c>
      <c r="AE17" s="136">
        <f t="shared" si="11"/>
        <v>0</v>
      </c>
      <c r="AF17" s="136">
        <f t="shared" si="12"/>
        <v>0</v>
      </c>
      <c r="AG17" s="26" t="s">
        <v>14</v>
      </c>
    </row>
    <row r="18" spans="1:33" x14ac:dyDescent="0.3">
      <c r="A18" s="78" t="s">
        <v>100</v>
      </c>
      <c r="B18" s="24">
        <v>75</v>
      </c>
      <c r="C18" s="24" t="s">
        <v>38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6" t="s">
        <v>14</v>
      </c>
      <c r="Q18" s="140"/>
      <c r="R18" s="78" t="s">
        <v>100</v>
      </c>
      <c r="S18" s="24">
        <v>75</v>
      </c>
      <c r="T18" s="24" t="s">
        <v>38</v>
      </c>
      <c r="U18" s="136">
        <f t="shared" si="1"/>
        <v>0</v>
      </c>
      <c r="V18" s="136">
        <f t="shared" si="2"/>
        <v>0</v>
      </c>
      <c r="W18" s="136">
        <f t="shared" si="3"/>
        <v>0</v>
      </c>
      <c r="X18" s="136">
        <f t="shared" si="4"/>
        <v>0</v>
      </c>
      <c r="Y18" s="136">
        <f t="shared" si="5"/>
        <v>0</v>
      </c>
      <c r="Z18" s="136">
        <f t="shared" si="6"/>
        <v>0</v>
      </c>
      <c r="AA18" s="136">
        <f t="shared" si="7"/>
        <v>0</v>
      </c>
      <c r="AB18" s="136">
        <f t="shared" si="8"/>
        <v>0</v>
      </c>
      <c r="AC18" s="136">
        <f t="shared" si="9"/>
        <v>0</v>
      </c>
      <c r="AD18" s="136">
        <f t="shared" si="10"/>
        <v>0</v>
      </c>
      <c r="AE18" s="136">
        <f t="shared" si="11"/>
        <v>0</v>
      </c>
      <c r="AF18" s="136">
        <f t="shared" si="12"/>
        <v>0</v>
      </c>
      <c r="AG18" s="26" t="s">
        <v>14</v>
      </c>
    </row>
    <row r="19" spans="1:33" x14ac:dyDescent="0.3">
      <c r="A19" s="78" t="s">
        <v>100</v>
      </c>
      <c r="B19" s="24">
        <v>76</v>
      </c>
      <c r="C19" s="24" t="s">
        <v>39</v>
      </c>
      <c r="D19" s="24">
        <v>1</v>
      </c>
      <c r="E19" s="24">
        <v>0</v>
      </c>
      <c r="F19" s="24">
        <v>3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6" t="s">
        <v>14</v>
      </c>
      <c r="Q19" s="140"/>
      <c r="R19" s="78" t="s">
        <v>100</v>
      </c>
      <c r="S19" s="24">
        <v>76</v>
      </c>
      <c r="T19" s="24" t="s">
        <v>39</v>
      </c>
      <c r="U19" s="136">
        <f t="shared" si="1"/>
        <v>2.8571428571428572</v>
      </c>
      <c r="V19" s="136">
        <f t="shared" si="2"/>
        <v>0</v>
      </c>
      <c r="W19" s="136">
        <f t="shared" si="3"/>
        <v>8.5714285714285712</v>
      </c>
      <c r="X19" s="136">
        <f t="shared" si="4"/>
        <v>0</v>
      </c>
      <c r="Y19" s="136">
        <f t="shared" si="5"/>
        <v>0</v>
      </c>
      <c r="Z19" s="136">
        <f t="shared" si="6"/>
        <v>0</v>
      </c>
      <c r="AA19" s="136">
        <f t="shared" si="7"/>
        <v>0</v>
      </c>
      <c r="AB19" s="136">
        <f t="shared" si="8"/>
        <v>0</v>
      </c>
      <c r="AC19" s="136">
        <f t="shared" si="9"/>
        <v>0</v>
      </c>
      <c r="AD19" s="136">
        <f t="shared" si="10"/>
        <v>0</v>
      </c>
      <c r="AE19" s="136">
        <f t="shared" si="11"/>
        <v>0</v>
      </c>
      <c r="AF19" s="136">
        <f t="shared" si="12"/>
        <v>0</v>
      </c>
      <c r="AG19" s="26" t="s">
        <v>14</v>
      </c>
    </row>
    <row r="20" spans="1:33" x14ac:dyDescent="0.3">
      <c r="A20" s="78" t="s">
        <v>100</v>
      </c>
      <c r="B20" s="24">
        <v>78</v>
      </c>
      <c r="C20" s="24" t="s">
        <v>40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6" t="s">
        <v>14</v>
      </c>
      <c r="Q20" s="140"/>
      <c r="R20" s="78" t="s">
        <v>100</v>
      </c>
      <c r="S20" s="24">
        <v>78</v>
      </c>
      <c r="T20" s="24" t="s">
        <v>40</v>
      </c>
      <c r="U20" s="136">
        <f t="shared" si="1"/>
        <v>0</v>
      </c>
      <c r="V20" s="136">
        <f t="shared" si="2"/>
        <v>0</v>
      </c>
      <c r="W20" s="136">
        <f t="shared" si="3"/>
        <v>0</v>
      </c>
      <c r="X20" s="136">
        <f t="shared" si="4"/>
        <v>0</v>
      </c>
      <c r="Y20" s="136">
        <f t="shared" si="5"/>
        <v>0</v>
      </c>
      <c r="Z20" s="136">
        <f t="shared" si="6"/>
        <v>0</v>
      </c>
      <c r="AA20" s="136">
        <f t="shared" si="7"/>
        <v>0</v>
      </c>
      <c r="AB20" s="136">
        <f t="shared" si="8"/>
        <v>0</v>
      </c>
      <c r="AC20" s="136">
        <f t="shared" si="9"/>
        <v>0</v>
      </c>
      <c r="AD20" s="136">
        <f t="shared" si="10"/>
        <v>0</v>
      </c>
      <c r="AE20" s="136">
        <f t="shared" si="11"/>
        <v>0</v>
      </c>
      <c r="AF20" s="136">
        <f t="shared" si="12"/>
        <v>0</v>
      </c>
      <c r="AG20" s="26" t="s">
        <v>14</v>
      </c>
    </row>
    <row r="21" spans="1:33" x14ac:dyDescent="0.3">
      <c r="A21" s="78" t="s">
        <v>99</v>
      </c>
      <c r="B21" s="24">
        <v>79</v>
      </c>
      <c r="C21" s="24" t="s">
        <v>29</v>
      </c>
      <c r="D21" s="24">
        <v>0</v>
      </c>
      <c r="E21" s="24">
        <v>0</v>
      </c>
      <c r="F21" s="24">
        <v>1</v>
      </c>
      <c r="G21" s="24">
        <v>1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6" t="s">
        <v>14</v>
      </c>
      <c r="Q21" s="140"/>
      <c r="R21" s="78" t="s">
        <v>99</v>
      </c>
      <c r="S21" s="24">
        <v>79</v>
      </c>
      <c r="T21" s="24" t="s">
        <v>29</v>
      </c>
      <c r="U21" s="136">
        <f t="shared" si="1"/>
        <v>0</v>
      </c>
      <c r="V21" s="136">
        <f t="shared" si="2"/>
        <v>0</v>
      </c>
      <c r="W21" s="136">
        <f t="shared" si="3"/>
        <v>2.8571428571428572</v>
      </c>
      <c r="X21" s="136">
        <f t="shared" si="4"/>
        <v>2.8571428571428572</v>
      </c>
      <c r="Y21" s="136">
        <f t="shared" si="5"/>
        <v>0</v>
      </c>
      <c r="Z21" s="136">
        <f t="shared" si="6"/>
        <v>0</v>
      </c>
      <c r="AA21" s="136">
        <f t="shared" si="7"/>
        <v>0</v>
      </c>
      <c r="AB21" s="136">
        <f t="shared" si="8"/>
        <v>0</v>
      </c>
      <c r="AC21" s="136">
        <f t="shared" si="9"/>
        <v>0</v>
      </c>
      <c r="AD21" s="136">
        <f t="shared" si="10"/>
        <v>0</v>
      </c>
      <c r="AE21" s="136">
        <f t="shared" si="11"/>
        <v>0</v>
      </c>
      <c r="AF21" s="136">
        <f t="shared" si="12"/>
        <v>0</v>
      </c>
      <c r="AG21" s="26" t="s">
        <v>14</v>
      </c>
    </row>
    <row r="22" spans="1:33" x14ac:dyDescent="0.3">
      <c r="A22" s="78" t="s">
        <v>99</v>
      </c>
      <c r="B22" s="24">
        <v>80</v>
      </c>
      <c r="C22" s="24" t="s">
        <v>30</v>
      </c>
      <c r="D22" s="24">
        <v>0</v>
      </c>
      <c r="E22" s="24">
        <v>0</v>
      </c>
      <c r="F22" s="24">
        <v>8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6" t="s">
        <v>14</v>
      </c>
      <c r="Q22" s="140"/>
      <c r="R22" s="78" t="s">
        <v>99</v>
      </c>
      <c r="S22" s="24">
        <v>80</v>
      </c>
      <c r="T22" s="24" t="s">
        <v>30</v>
      </c>
      <c r="U22" s="136">
        <f t="shared" si="1"/>
        <v>0</v>
      </c>
      <c r="V22" s="136">
        <f t="shared" si="2"/>
        <v>0</v>
      </c>
      <c r="W22" s="136">
        <f t="shared" si="3"/>
        <v>22.857142857142858</v>
      </c>
      <c r="X22" s="136">
        <f t="shared" si="4"/>
        <v>0</v>
      </c>
      <c r="Y22" s="136">
        <f t="shared" si="5"/>
        <v>0</v>
      </c>
      <c r="Z22" s="136">
        <f t="shared" si="6"/>
        <v>0</v>
      </c>
      <c r="AA22" s="136">
        <f t="shared" si="7"/>
        <v>0</v>
      </c>
      <c r="AB22" s="136">
        <f t="shared" si="8"/>
        <v>0</v>
      </c>
      <c r="AC22" s="136">
        <f t="shared" si="9"/>
        <v>0</v>
      </c>
      <c r="AD22" s="136">
        <f t="shared" si="10"/>
        <v>0</v>
      </c>
      <c r="AE22" s="136">
        <f t="shared" si="11"/>
        <v>0</v>
      </c>
      <c r="AF22" s="136">
        <f t="shared" si="12"/>
        <v>0</v>
      </c>
      <c r="AG22" s="26" t="s">
        <v>14</v>
      </c>
    </row>
    <row r="23" spans="1:33" x14ac:dyDescent="0.3">
      <c r="A23" s="78" t="s">
        <v>99</v>
      </c>
      <c r="B23" s="24">
        <v>81</v>
      </c>
      <c r="C23" s="24" t="s">
        <v>31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6" t="s">
        <v>14</v>
      </c>
      <c r="Q23" s="140"/>
      <c r="R23" s="78" t="s">
        <v>99</v>
      </c>
      <c r="S23" s="24">
        <v>81</v>
      </c>
      <c r="T23" s="24" t="s">
        <v>31</v>
      </c>
      <c r="U23" s="136">
        <f t="shared" si="1"/>
        <v>0</v>
      </c>
      <c r="V23" s="136">
        <f t="shared" si="2"/>
        <v>0</v>
      </c>
      <c r="W23" s="136">
        <f t="shared" si="3"/>
        <v>0</v>
      </c>
      <c r="X23" s="136">
        <f t="shared" si="4"/>
        <v>0</v>
      </c>
      <c r="Y23" s="136">
        <f t="shared" si="5"/>
        <v>0</v>
      </c>
      <c r="Z23" s="136">
        <f t="shared" si="6"/>
        <v>0</v>
      </c>
      <c r="AA23" s="136">
        <f t="shared" si="7"/>
        <v>0</v>
      </c>
      <c r="AB23" s="136">
        <f t="shared" si="8"/>
        <v>0</v>
      </c>
      <c r="AC23" s="136">
        <f t="shared" si="9"/>
        <v>0</v>
      </c>
      <c r="AD23" s="136">
        <f t="shared" si="10"/>
        <v>0</v>
      </c>
      <c r="AE23" s="136">
        <f t="shared" si="11"/>
        <v>0</v>
      </c>
      <c r="AF23" s="136">
        <f t="shared" si="12"/>
        <v>0</v>
      </c>
      <c r="AG23" s="26" t="s">
        <v>14</v>
      </c>
    </row>
    <row r="24" spans="1:33" x14ac:dyDescent="0.3">
      <c r="A24" s="78" t="s">
        <v>99</v>
      </c>
      <c r="B24" s="24">
        <v>82</v>
      </c>
      <c r="C24" s="24" t="s">
        <v>32</v>
      </c>
      <c r="D24" s="24">
        <v>4</v>
      </c>
      <c r="E24" s="24">
        <v>0</v>
      </c>
      <c r="F24" s="24">
        <v>11</v>
      </c>
      <c r="G24" s="24">
        <v>1</v>
      </c>
      <c r="H24" s="24">
        <v>0</v>
      </c>
      <c r="I24" s="24">
        <v>0</v>
      </c>
      <c r="J24" s="25">
        <v>1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6" t="s">
        <v>14</v>
      </c>
      <c r="Q24" s="140"/>
      <c r="R24" s="78" t="s">
        <v>99</v>
      </c>
      <c r="S24" s="24">
        <v>82</v>
      </c>
      <c r="T24" s="24" t="s">
        <v>32</v>
      </c>
      <c r="U24" s="136">
        <f t="shared" si="1"/>
        <v>11.428571428571429</v>
      </c>
      <c r="V24" s="136">
        <f t="shared" si="2"/>
        <v>0</v>
      </c>
      <c r="W24" s="136">
        <f t="shared" si="3"/>
        <v>31.428571428571431</v>
      </c>
      <c r="X24" s="136">
        <f t="shared" si="4"/>
        <v>2.8571428571428572</v>
      </c>
      <c r="Y24" s="136">
        <f t="shared" si="5"/>
        <v>0</v>
      </c>
      <c r="Z24" s="136">
        <f t="shared" si="6"/>
        <v>0</v>
      </c>
      <c r="AA24" s="136">
        <f t="shared" si="7"/>
        <v>2.8571428571428572</v>
      </c>
      <c r="AB24" s="136">
        <f t="shared" si="8"/>
        <v>0</v>
      </c>
      <c r="AC24" s="136">
        <f t="shared" si="9"/>
        <v>0</v>
      </c>
      <c r="AD24" s="136">
        <f t="shared" si="10"/>
        <v>0</v>
      </c>
      <c r="AE24" s="136">
        <f t="shared" si="11"/>
        <v>0</v>
      </c>
      <c r="AF24" s="136">
        <f t="shared" si="12"/>
        <v>0</v>
      </c>
      <c r="AG24" s="26" t="s">
        <v>14</v>
      </c>
    </row>
    <row r="25" spans="1:33" x14ac:dyDescent="0.3">
      <c r="A25" s="78" t="s">
        <v>100</v>
      </c>
      <c r="B25" s="24">
        <v>83</v>
      </c>
      <c r="C25" s="24" t="s">
        <v>26</v>
      </c>
      <c r="D25" s="24">
        <v>25</v>
      </c>
      <c r="E25" s="24">
        <v>0</v>
      </c>
      <c r="F25" s="24">
        <v>20</v>
      </c>
      <c r="G25" s="24">
        <v>4</v>
      </c>
      <c r="H25" s="24">
        <v>0</v>
      </c>
      <c r="I25" s="24">
        <v>0</v>
      </c>
      <c r="J25" s="25">
        <v>2</v>
      </c>
      <c r="K25" s="25">
        <v>2</v>
      </c>
      <c r="L25" s="24">
        <v>0</v>
      </c>
      <c r="M25" s="24">
        <v>0</v>
      </c>
      <c r="N25" s="24">
        <v>0</v>
      </c>
      <c r="O25" s="24">
        <v>0</v>
      </c>
      <c r="P25" s="26" t="s">
        <v>14</v>
      </c>
      <c r="Q25" s="140"/>
      <c r="R25" s="78" t="s">
        <v>100</v>
      </c>
      <c r="S25" s="24">
        <v>83</v>
      </c>
      <c r="T25" s="24" t="s">
        <v>26</v>
      </c>
      <c r="U25" s="136">
        <f t="shared" si="1"/>
        <v>71.428571428571431</v>
      </c>
      <c r="V25" s="136">
        <f t="shared" si="2"/>
        <v>0</v>
      </c>
      <c r="W25" s="136">
        <f t="shared" si="3"/>
        <v>57.142857142857146</v>
      </c>
      <c r="X25" s="136">
        <f t="shared" si="4"/>
        <v>11.428571428571429</v>
      </c>
      <c r="Y25" s="136">
        <f t="shared" si="5"/>
        <v>0</v>
      </c>
      <c r="Z25" s="136">
        <f t="shared" si="6"/>
        <v>0</v>
      </c>
      <c r="AA25" s="136">
        <f t="shared" si="7"/>
        <v>5.7142857142857144</v>
      </c>
      <c r="AB25" s="136">
        <f t="shared" si="8"/>
        <v>5.7142857142857144</v>
      </c>
      <c r="AC25" s="136">
        <f t="shared" si="9"/>
        <v>0</v>
      </c>
      <c r="AD25" s="136">
        <f t="shared" si="10"/>
        <v>0</v>
      </c>
      <c r="AE25" s="136">
        <f t="shared" si="11"/>
        <v>0</v>
      </c>
      <c r="AF25" s="136">
        <f t="shared" si="12"/>
        <v>0</v>
      </c>
      <c r="AG25" s="26" t="s">
        <v>14</v>
      </c>
    </row>
    <row r="26" spans="1:33" x14ac:dyDescent="0.3">
      <c r="A26" s="78" t="s">
        <v>100</v>
      </c>
      <c r="B26" s="24">
        <v>84</v>
      </c>
      <c r="C26" s="24" t="s">
        <v>41</v>
      </c>
      <c r="D26" s="24">
        <v>5</v>
      </c>
      <c r="E26" s="24">
        <v>0</v>
      </c>
      <c r="F26" s="24">
        <v>10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6" t="s">
        <v>14</v>
      </c>
      <c r="Q26" s="140"/>
      <c r="R26" s="78" t="s">
        <v>100</v>
      </c>
      <c r="S26" s="24">
        <v>84</v>
      </c>
      <c r="T26" s="24" t="s">
        <v>41</v>
      </c>
      <c r="U26" s="136">
        <f t="shared" si="1"/>
        <v>14.285714285714286</v>
      </c>
      <c r="V26" s="136">
        <f t="shared" si="2"/>
        <v>0</v>
      </c>
      <c r="W26" s="136">
        <f t="shared" si="3"/>
        <v>28.571428571428573</v>
      </c>
      <c r="X26" s="136">
        <f t="shared" si="4"/>
        <v>0</v>
      </c>
      <c r="Y26" s="136">
        <f t="shared" si="5"/>
        <v>0</v>
      </c>
      <c r="Z26" s="136">
        <f t="shared" si="6"/>
        <v>0</v>
      </c>
      <c r="AA26" s="136">
        <f t="shared" si="7"/>
        <v>0</v>
      </c>
      <c r="AB26" s="136">
        <f t="shared" si="8"/>
        <v>0</v>
      </c>
      <c r="AC26" s="136">
        <f t="shared" si="9"/>
        <v>0</v>
      </c>
      <c r="AD26" s="136">
        <f t="shared" si="10"/>
        <v>0</v>
      </c>
      <c r="AE26" s="136">
        <f t="shared" si="11"/>
        <v>0</v>
      </c>
      <c r="AF26" s="136">
        <f t="shared" si="12"/>
        <v>0</v>
      </c>
      <c r="AG26" s="26" t="s">
        <v>14</v>
      </c>
    </row>
    <row r="27" spans="1:33" x14ac:dyDescent="0.3">
      <c r="A27" s="78" t="s">
        <v>100</v>
      </c>
      <c r="B27" s="24">
        <v>85</v>
      </c>
      <c r="C27" s="24" t="s">
        <v>48</v>
      </c>
      <c r="D27" s="24">
        <v>1</v>
      </c>
      <c r="E27" s="24">
        <v>0</v>
      </c>
      <c r="F27" s="24">
        <v>33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6" t="s">
        <v>14</v>
      </c>
      <c r="Q27" s="140"/>
      <c r="R27" s="78" t="s">
        <v>100</v>
      </c>
      <c r="S27" s="24">
        <v>85</v>
      </c>
      <c r="T27" s="24" t="s">
        <v>48</v>
      </c>
      <c r="U27" s="136">
        <f t="shared" si="1"/>
        <v>2.8571428571428572</v>
      </c>
      <c r="V27" s="136">
        <f t="shared" si="2"/>
        <v>0</v>
      </c>
      <c r="W27" s="136">
        <f t="shared" si="3"/>
        <v>94.285714285714292</v>
      </c>
      <c r="X27" s="136">
        <f t="shared" si="4"/>
        <v>0</v>
      </c>
      <c r="Y27" s="136">
        <f t="shared" si="5"/>
        <v>0</v>
      </c>
      <c r="Z27" s="136">
        <f t="shared" si="6"/>
        <v>0</v>
      </c>
      <c r="AA27" s="136">
        <f t="shared" si="7"/>
        <v>0</v>
      </c>
      <c r="AB27" s="136">
        <f t="shared" si="8"/>
        <v>0</v>
      </c>
      <c r="AC27" s="136">
        <f t="shared" si="9"/>
        <v>0</v>
      </c>
      <c r="AD27" s="136">
        <f t="shared" si="10"/>
        <v>0</v>
      </c>
      <c r="AE27" s="136">
        <f t="shared" si="11"/>
        <v>0</v>
      </c>
      <c r="AF27" s="136">
        <f t="shared" si="12"/>
        <v>0</v>
      </c>
      <c r="AG27" s="26" t="s">
        <v>14</v>
      </c>
    </row>
    <row r="28" spans="1:33" x14ac:dyDescent="0.3">
      <c r="A28" s="78" t="s">
        <v>100</v>
      </c>
      <c r="B28" s="24">
        <v>86</v>
      </c>
      <c r="C28" s="24" t="s">
        <v>35</v>
      </c>
      <c r="D28" s="24">
        <v>0</v>
      </c>
      <c r="E28" s="24">
        <v>0</v>
      </c>
      <c r="F28" s="24">
        <v>5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6" t="s">
        <v>14</v>
      </c>
      <c r="Q28" s="140"/>
      <c r="R28" s="78" t="s">
        <v>100</v>
      </c>
      <c r="S28" s="24">
        <v>86</v>
      </c>
      <c r="T28" s="24" t="s">
        <v>35</v>
      </c>
      <c r="U28" s="136">
        <f t="shared" si="1"/>
        <v>0</v>
      </c>
      <c r="V28" s="136">
        <f t="shared" si="2"/>
        <v>0</v>
      </c>
      <c r="W28" s="136">
        <f t="shared" si="3"/>
        <v>14.285714285714286</v>
      </c>
      <c r="X28" s="136">
        <f t="shared" si="4"/>
        <v>0</v>
      </c>
      <c r="Y28" s="136">
        <f t="shared" si="5"/>
        <v>0</v>
      </c>
      <c r="Z28" s="136">
        <f t="shared" si="6"/>
        <v>0</v>
      </c>
      <c r="AA28" s="136">
        <f t="shared" si="7"/>
        <v>0</v>
      </c>
      <c r="AB28" s="136">
        <f t="shared" si="8"/>
        <v>0</v>
      </c>
      <c r="AC28" s="136">
        <f t="shared" si="9"/>
        <v>0</v>
      </c>
      <c r="AD28" s="136">
        <f t="shared" si="10"/>
        <v>0</v>
      </c>
      <c r="AE28" s="136">
        <f t="shared" si="11"/>
        <v>0</v>
      </c>
      <c r="AF28" s="136">
        <f t="shared" si="12"/>
        <v>0</v>
      </c>
      <c r="AG28" s="26" t="s">
        <v>14</v>
      </c>
    </row>
    <row r="29" spans="1:33" x14ac:dyDescent="0.3">
      <c r="A29" s="78" t="s">
        <v>100</v>
      </c>
      <c r="B29" s="24">
        <v>87</v>
      </c>
      <c r="C29" s="24" t="s">
        <v>36</v>
      </c>
      <c r="D29" s="26">
        <v>23</v>
      </c>
      <c r="E29" s="24">
        <v>0</v>
      </c>
      <c r="F29" s="26">
        <v>29</v>
      </c>
      <c r="G29" s="24">
        <v>0</v>
      </c>
      <c r="H29" s="24">
        <v>0</v>
      </c>
      <c r="I29" s="26">
        <v>0</v>
      </c>
      <c r="J29" s="24">
        <v>0</v>
      </c>
      <c r="K29" s="54">
        <v>1</v>
      </c>
      <c r="L29" s="24">
        <v>0</v>
      </c>
      <c r="M29" s="24">
        <v>0</v>
      </c>
      <c r="N29" s="24">
        <v>0</v>
      </c>
      <c r="O29" s="24">
        <v>0</v>
      </c>
      <c r="P29" s="26" t="s">
        <v>14</v>
      </c>
      <c r="Q29" s="140"/>
      <c r="R29" s="78" t="s">
        <v>100</v>
      </c>
      <c r="S29" s="24">
        <v>87</v>
      </c>
      <c r="T29" s="24" t="s">
        <v>36</v>
      </c>
      <c r="U29" s="136">
        <f t="shared" si="1"/>
        <v>65.714285714285722</v>
      </c>
      <c r="V29" s="136">
        <f t="shared" si="2"/>
        <v>0</v>
      </c>
      <c r="W29" s="136">
        <f t="shared" si="3"/>
        <v>82.857142857142861</v>
      </c>
      <c r="X29" s="136">
        <f t="shared" si="4"/>
        <v>0</v>
      </c>
      <c r="Y29" s="136">
        <f t="shared" si="5"/>
        <v>0</v>
      </c>
      <c r="Z29" s="136">
        <f t="shared" si="6"/>
        <v>0</v>
      </c>
      <c r="AA29" s="136">
        <f t="shared" si="7"/>
        <v>0</v>
      </c>
      <c r="AB29" s="136">
        <f t="shared" si="8"/>
        <v>2.8571428571428572</v>
      </c>
      <c r="AC29" s="136">
        <f t="shared" si="9"/>
        <v>0</v>
      </c>
      <c r="AD29" s="136">
        <f t="shared" si="10"/>
        <v>0</v>
      </c>
      <c r="AE29" s="136">
        <f t="shared" si="11"/>
        <v>0</v>
      </c>
      <c r="AF29" s="136">
        <f t="shared" si="12"/>
        <v>0</v>
      </c>
      <c r="AG29" s="26" t="s">
        <v>14</v>
      </c>
    </row>
    <row r="30" spans="1:33" x14ac:dyDescent="0.3">
      <c r="B30" s="33" t="s">
        <v>20</v>
      </c>
      <c r="C30" s="33" t="s">
        <v>9</v>
      </c>
      <c r="D30" s="33">
        <f>SUM(D5:D29)</f>
        <v>143</v>
      </c>
      <c r="E30" s="33">
        <f t="shared" ref="E30:K30" si="13">SUM(E5:E29)</f>
        <v>0</v>
      </c>
      <c r="F30" s="33">
        <f t="shared" si="13"/>
        <v>152</v>
      </c>
      <c r="G30" s="33">
        <f t="shared" si="13"/>
        <v>20</v>
      </c>
      <c r="H30" s="33">
        <f t="shared" si="13"/>
        <v>1</v>
      </c>
      <c r="I30" s="33">
        <f t="shared" si="13"/>
        <v>0</v>
      </c>
      <c r="J30" s="33">
        <f t="shared" si="13"/>
        <v>9</v>
      </c>
      <c r="K30" s="33">
        <f t="shared" si="13"/>
        <v>7</v>
      </c>
      <c r="L30" s="33">
        <f>SUM(L5:L29)</f>
        <v>0</v>
      </c>
      <c r="M30" s="33">
        <f>SUM(M5:M29)</f>
        <v>0</v>
      </c>
      <c r="N30" s="33">
        <f>SUM(N5:N29)</f>
        <v>0</v>
      </c>
      <c r="O30" s="33">
        <f>SUM(O5:O29)</f>
        <v>0</v>
      </c>
      <c r="P30" s="36"/>
      <c r="Q30" s="140"/>
      <c r="R30" s="140"/>
      <c r="S30" s="33" t="s">
        <v>20</v>
      </c>
      <c r="T30" s="33" t="s">
        <v>9</v>
      </c>
      <c r="U30" s="38">
        <f>SUM(U5:U29)</f>
        <v>408.57142857142856</v>
      </c>
      <c r="V30" s="38">
        <f t="shared" ref="V30:AB30" si="14">SUM(V5:V29)</f>
        <v>0</v>
      </c>
      <c r="W30" s="38">
        <f t="shared" si="14"/>
        <v>434.28571428571433</v>
      </c>
      <c r="X30" s="38">
        <f t="shared" si="14"/>
        <v>57.142857142857139</v>
      </c>
      <c r="Y30" s="38">
        <f t="shared" si="14"/>
        <v>2.8571428571428572</v>
      </c>
      <c r="Z30" s="38">
        <f t="shared" si="14"/>
        <v>0</v>
      </c>
      <c r="AA30" s="38">
        <f t="shared" si="14"/>
        <v>25.714285714285715</v>
      </c>
      <c r="AB30" s="38">
        <f t="shared" si="14"/>
        <v>20</v>
      </c>
      <c r="AC30" s="38">
        <f>SUM(AC5:AC29)</f>
        <v>0</v>
      </c>
      <c r="AD30" s="33">
        <f>SUM(AD5:AD29)</f>
        <v>0</v>
      </c>
      <c r="AE30" s="33">
        <f>SUM(AE5:AE29)</f>
        <v>0</v>
      </c>
      <c r="AF30" s="33">
        <f>SUM(AF5:AF29)</f>
        <v>0</v>
      </c>
      <c r="AG30" s="36"/>
    </row>
    <row r="31" spans="1:33" s="19" customFormat="1" x14ac:dyDescent="0.3">
      <c r="B31" s="37" t="s">
        <v>20</v>
      </c>
      <c r="C31" s="38" t="s">
        <v>76</v>
      </c>
      <c r="D31" s="98">
        <f>D30/25</f>
        <v>5.72</v>
      </c>
      <c r="E31" s="33">
        <v>0</v>
      </c>
      <c r="F31" s="98">
        <f t="shared" ref="F31:K31" si="15">F30/25</f>
        <v>6.08</v>
      </c>
      <c r="G31" s="98">
        <f t="shared" si="15"/>
        <v>0.8</v>
      </c>
      <c r="H31" s="98" t="s">
        <v>20</v>
      </c>
      <c r="I31" s="98" t="s">
        <v>20</v>
      </c>
      <c r="J31" s="98">
        <f t="shared" si="15"/>
        <v>0.36</v>
      </c>
      <c r="K31" s="98">
        <f t="shared" si="15"/>
        <v>0.28000000000000003</v>
      </c>
      <c r="L31" s="98" t="s">
        <v>20</v>
      </c>
      <c r="M31" s="98" t="s">
        <v>20</v>
      </c>
      <c r="N31" s="98" t="s">
        <v>20</v>
      </c>
      <c r="O31" s="98" t="s">
        <v>20</v>
      </c>
      <c r="P31" s="41"/>
      <c r="Q31" s="144"/>
      <c r="R31" s="144"/>
      <c r="S31" s="37" t="s">
        <v>20</v>
      </c>
      <c r="T31" s="38" t="s">
        <v>76</v>
      </c>
      <c r="U31" s="98">
        <f>U30/25</f>
        <v>16.342857142857142</v>
      </c>
      <c r="V31" s="33">
        <v>0</v>
      </c>
      <c r="W31" s="98">
        <f>W30/25</f>
        <v>17.371428571428574</v>
      </c>
      <c r="X31" s="98">
        <f>X30/25</f>
        <v>2.2857142857142856</v>
      </c>
      <c r="Y31" s="98" t="s">
        <v>20</v>
      </c>
      <c r="Z31" s="98" t="s">
        <v>20</v>
      </c>
      <c r="AA31" s="98">
        <f>AA30/25</f>
        <v>1.0285714285714287</v>
      </c>
      <c r="AB31" s="98">
        <f>AB30/25</f>
        <v>0.8</v>
      </c>
      <c r="AC31" s="98" t="s">
        <v>20</v>
      </c>
      <c r="AD31" s="98" t="s">
        <v>20</v>
      </c>
      <c r="AE31" s="98" t="s">
        <v>20</v>
      </c>
      <c r="AF31" s="98" t="s">
        <v>20</v>
      </c>
      <c r="AG31" s="41"/>
    </row>
    <row r="32" spans="1:33" s="17" customFormat="1" ht="30.45" customHeight="1" x14ac:dyDescent="0.3">
      <c r="B32" s="42"/>
      <c r="C32" s="43" t="s">
        <v>73</v>
      </c>
      <c r="D32" s="99">
        <f>D30/12</f>
        <v>11.916666666666666</v>
      </c>
      <c r="E32" s="98">
        <v>0</v>
      </c>
      <c r="F32" s="100">
        <f>152/12</f>
        <v>12.666666666666666</v>
      </c>
      <c r="G32" s="101">
        <f>20/8</f>
        <v>2.5</v>
      </c>
      <c r="H32" s="102">
        <v>1</v>
      </c>
      <c r="I32" s="102" t="s">
        <v>20</v>
      </c>
      <c r="J32" s="103">
        <f>9/5</f>
        <v>1.8</v>
      </c>
      <c r="K32" s="100">
        <f>7/3</f>
        <v>2.3333333333333335</v>
      </c>
      <c r="L32" s="38" t="s">
        <v>20</v>
      </c>
      <c r="M32" s="39" t="s">
        <v>20</v>
      </c>
      <c r="N32" s="38" t="s">
        <v>20</v>
      </c>
      <c r="O32" s="39" t="s">
        <v>20</v>
      </c>
      <c r="P32" s="48"/>
      <c r="Q32" s="145"/>
      <c r="R32" s="145"/>
      <c r="S32" s="42"/>
      <c r="T32" s="43" t="s">
        <v>73</v>
      </c>
      <c r="U32" s="99">
        <f>U30/12</f>
        <v>34.047619047619044</v>
      </c>
      <c r="V32" s="98">
        <v>0</v>
      </c>
      <c r="W32" s="100">
        <f>W30/12</f>
        <v>36.190476190476197</v>
      </c>
      <c r="X32" s="101">
        <f>X30/8</f>
        <v>7.1428571428571423</v>
      </c>
      <c r="Y32" s="102">
        <v>1</v>
      </c>
      <c r="Z32" s="102" t="s">
        <v>20</v>
      </c>
      <c r="AA32" s="103">
        <f>AA30/5</f>
        <v>5.1428571428571432</v>
      </c>
      <c r="AB32" s="100">
        <f>AB30/3</f>
        <v>6.666666666666667</v>
      </c>
      <c r="AC32" s="38" t="s">
        <v>20</v>
      </c>
      <c r="AD32" s="39" t="s">
        <v>20</v>
      </c>
      <c r="AE32" s="38" t="s">
        <v>20</v>
      </c>
      <c r="AF32" s="39" t="s">
        <v>20</v>
      </c>
      <c r="AG32" s="48"/>
    </row>
    <row r="33" spans="2:18" ht="27" customHeight="1" x14ac:dyDescent="0.3">
      <c r="B33" s="3"/>
      <c r="G33" s="5"/>
      <c r="H33" s="5"/>
      <c r="I33" s="5"/>
      <c r="J33" s="5"/>
      <c r="K33" s="3"/>
      <c r="L33" s="3"/>
      <c r="M33" s="18"/>
      <c r="Q33" s="140"/>
      <c r="R33" s="140"/>
    </row>
    <row r="34" spans="2:18" x14ac:dyDescent="0.3">
      <c r="B34" s="6"/>
      <c r="C34" s="49"/>
      <c r="G34" s="3"/>
      <c r="H34" s="3"/>
      <c r="I34" s="3"/>
      <c r="J34" s="3"/>
      <c r="K34" s="3"/>
      <c r="L34" s="3"/>
      <c r="M34" s="18"/>
      <c r="Q34" s="140"/>
      <c r="R34" s="140"/>
    </row>
    <row r="35" spans="2:18" x14ac:dyDescent="0.3">
      <c r="B35" s="7"/>
      <c r="C35" s="49"/>
      <c r="G35" s="3"/>
      <c r="H35" s="3"/>
      <c r="I35" s="3"/>
      <c r="J35" s="3"/>
      <c r="K35" s="3"/>
      <c r="L35" s="3"/>
      <c r="M35" s="18"/>
      <c r="Q35" s="140"/>
      <c r="R35" s="140"/>
    </row>
    <row r="36" spans="2:18" x14ac:dyDescent="0.3">
      <c r="B36" s="8"/>
      <c r="C36" s="49"/>
      <c r="G36" s="3"/>
      <c r="H36" s="3"/>
      <c r="I36" s="3"/>
      <c r="J36" s="3"/>
      <c r="K36" s="3"/>
      <c r="L36" s="3"/>
      <c r="M36" s="18"/>
      <c r="Q36" s="140"/>
      <c r="R36" s="140"/>
    </row>
    <row r="37" spans="2:18" x14ac:dyDescent="0.3">
      <c r="B37" s="9"/>
      <c r="C37" s="49"/>
      <c r="G37" s="3"/>
      <c r="H37" s="3"/>
      <c r="I37" s="3"/>
      <c r="J37" s="3"/>
      <c r="K37" s="3"/>
      <c r="L37" s="3"/>
      <c r="M37" s="18"/>
      <c r="Q37" s="140"/>
      <c r="R37" s="140"/>
    </row>
    <row r="38" spans="2:18" x14ac:dyDescent="0.3">
      <c r="B38" s="3"/>
      <c r="G38" s="3"/>
      <c r="H38" s="3"/>
      <c r="I38" s="3"/>
      <c r="J38" s="3"/>
      <c r="K38" s="3"/>
      <c r="L38" s="3"/>
      <c r="M38" s="18"/>
    </row>
  </sheetData>
  <pageMargins left="0.99803149599999996" right="0.39370078740157499" top="0.98425196850393704" bottom="0.98425196850393704" header="0.511811023622047" footer="0.511811023622047"/>
  <pageSetup orientation="portrait" horizontalDpi="300" verticalDpi="300" r:id="rId1"/>
  <headerFooter alignWithMargins="0">
    <oddHeader>&amp;LTable 1.  Summary of defoliators in 25 Permanent Sample Plots in the West Nelson Forest Region, 2002.</oddHeader>
    <oddFooter>&amp;L&amp;"Franklin Gothic Book,Regular"&amp;8JCH Forest Pest Management&amp;R&amp;"Franklin Gothic Book,Regular"&amp;8&amp;D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 tint="0.59999389629810485"/>
  </sheetPr>
  <dimension ref="A1:V37"/>
  <sheetViews>
    <sheetView zoomScale="75" workbookViewId="0">
      <selection activeCell="D4" sqref="D4:D28"/>
    </sheetView>
  </sheetViews>
  <sheetFormatPr defaultColWidth="8.765625" defaultRowHeight="12.45" x14ac:dyDescent="0.3"/>
  <cols>
    <col min="2" max="2" width="4.69140625" style="1" customWidth="1"/>
    <col min="3" max="3" width="15.3046875" style="3" customWidth="1"/>
    <col min="4" max="6" width="5" customWidth="1"/>
    <col min="7" max="7" width="5" style="1" customWidth="1"/>
    <col min="8" max="12" width="5" customWidth="1"/>
    <col min="13" max="13" width="5" style="51" customWidth="1"/>
    <col min="14" max="16" width="5" customWidth="1"/>
  </cols>
  <sheetData>
    <row r="1" spans="1:22" s="113" customFormat="1" ht="20.149999999999999" x14ac:dyDescent="0.4">
      <c r="B1" s="117" t="s">
        <v>79</v>
      </c>
    </row>
    <row r="2" spans="1:22" s="3" customFormat="1" ht="28.2" customHeight="1" x14ac:dyDescent="0.4">
      <c r="D2" s="12"/>
      <c r="E2" s="13"/>
      <c r="F2" s="14"/>
      <c r="G2" s="11"/>
      <c r="H2" s="13"/>
      <c r="I2" s="13"/>
      <c r="J2" s="13"/>
      <c r="K2" s="13"/>
      <c r="L2" s="13"/>
      <c r="M2" s="10"/>
      <c r="N2" s="13"/>
      <c r="O2" s="13"/>
      <c r="P2" s="14"/>
    </row>
    <row r="3" spans="1:22" s="2" customFormat="1" ht="174.45" customHeight="1" x14ac:dyDescent="0.3">
      <c r="A3" s="2" t="s">
        <v>98</v>
      </c>
      <c r="B3" s="20" t="s">
        <v>0</v>
      </c>
      <c r="C3" s="20" t="s">
        <v>25</v>
      </c>
      <c r="D3" s="21" t="s">
        <v>5</v>
      </c>
      <c r="E3" s="21" t="s">
        <v>6</v>
      </c>
      <c r="F3" s="21" t="s">
        <v>1</v>
      </c>
      <c r="G3" s="21" t="s">
        <v>7</v>
      </c>
      <c r="H3" s="21" t="s">
        <v>4</v>
      </c>
      <c r="I3" s="21" t="s">
        <v>3</v>
      </c>
      <c r="J3" s="22" t="s">
        <v>2</v>
      </c>
      <c r="K3" s="21" t="s">
        <v>59</v>
      </c>
      <c r="L3" s="22" t="s">
        <v>60</v>
      </c>
      <c r="M3" s="22" t="s">
        <v>18</v>
      </c>
      <c r="N3" s="21" t="s">
        <v>12</v>
      </c>
      <c r="O3" s="21" t="s">
        <v>57</v>
      </c>
      <c r="P3" s="21" t="s">
        <v>13</v>
      </c>
      <c r="Q3" s="53"/>
      <c r="R3" s="53"/>
      <c r="S3" s="53"/>
      <c r="T3" s="53"/>
      <c r="U3" s="53"/>
      <c r="V3" s="53"/>
    </row>
    <row r="4" spans="1:22" x14ac:dyDescent="0.3">
      <c r="A4" s="78" t="s">
        <v>100</v>
      </c>
      <c r="B4" s="24">
        <v>69</v>
      </c>
      <c r="C4" s="24" t="s">
        <v>33</v>
      </c>
      <c r="D4" s="24">
        <v>7</v>
      </c>
      <c r="E4" s="24">
        <v>0</v>
      </c>
      <c r="F4" s="24">
        <v>10</v>
      </c>
      <c r="G4" s="24">
        <v>0</v>
      </c>
      <c r="H4" s="24">
        <v>0</v>
      </c>
      <c r="I4" s="24">
        <v>0</v>
      </c>
      <c r="J4" s="25">
        <v>0</v>
      </c>
      <c r="K4" s="25">
        <v>0</v>
      </c>
      <c r="L4" s="25">
        <v>0</v>
      </c>
      <c r="M4" s="25">
        <v>0</v>
      </c>
      <c r="N4" s="24">
        <v>0</v>
      </c>
      <c r="O4" s="24">
        <v>0</v>
      </c>
      <c r="P4" s="24" t="s">
        <v>14</v>
      </c>
      <c r="Q4" s="1"/>
      <c r="R4" s="3"/>
      <c r="S4" s="3"/>
      <c r="T4" s="3"/>
      <c r="U4" s="3"/>
      <c r="V4" s="3"/>
    </row>
    <row r="5" spans="1:22" x14ac:dyDescent="0.3">
      <c r="A5" s="78" t="s">
        <v>100</v>
      </c>
      <c r="B5" s="24">
        <v>72</v>
      </c>
      <c r="C5" s="24" t="s">
        <v>34</v>
      </c>
      <c r="D5" s="24">
        <v>31</v>
      </c>
      <c r="E5" s="24">
        <v>6</v>
      </c>
      <c r="F5" s="24">
        <v>0</v>
      </c>
      <c r="G5" s="24">
        <v>0</v>
      </c>
      <c r="H5" s="24">
        <v>0</v>
      </c>
      <c r="I5" s="24">
        <v>1</v>
      </c>
      <c r="J5" s="25">
        <v>1</v>
      </c>
      <c r="K5" s="25">
        <v>0</v>
      </c>
      <c r="L5" s="25">
        <v>0</v>
      </c>
      <c r="M5" s="25">
        <v>0</v>
      </c>
      <c r="N5" s="24">
        <v>0</v>
      </c>
      <c r="O5" s="24">
        <v>0</v>
      </c>
      <c r="P5" s="24" t="s">
        <v>14</v>
      </c>
    </row>
    <row r="6" spans="1:22" x14ac:dyDescent="0.3">
      <c r="A6" s="78" t="s">
        <v>100</v>
      </c>
      <c r="B6" s="24">
        <v>86</v>
      </c>
      <c r="C6" s="24" t="s">
        <v>35</v>
      </c>
      <c r="D6" s="24">
        <v>46</v>
      </c>
      <c r="E6" s="24">
        <v>127</v>
      </c>
      <c r="F6" s="24">
        <v>21</v>
      </c>
      <c r="G6" s="24">
        <v>1</v>
      </c>
      <c r="H6" s="24">
        <v>0</v>
      </c>
      <c r="I6" s="24">
        <v>0</v>
      </c>
      <c r="J6" s="25">
        <v>1</v>
      </c>
      <c r="K6" s="25">
        <v>0</v>
      </c>
      <c r="L6" s="25">
        <v>0</v>
      </c>
      <c r="M6" s="25">
        <v>0</v>
      </c>
      <c r="N6" s="24">
        <v>0</v>
      </c>
      <c r="O6" s="24">
        <v>1</v>
      </c>
      <c r="P6" s="29" t="s">
        <v>15</v>
      </c>
    </row>
    <row r="7" spans="1:22" x14ac:dyDescent="0.3">
      <c r="A7" s="78" t="s">
        <v>100</v>
      </c>
      <c r="B7" s="24">
        <v>87</v>
      </c>
      <c r="C7" s="24" t="s">
        <v>36</v>
      </c>
      <c r="D7" s="26">
        <v>9</v>
      </c>
      <c r="E7" s="26">
        <v>2</v>
      </c>
      <c r="F7" s="26">
        <v>1</v>
      </c>
      <c r="G7" s="52">
        <v>0</v>
      </c>
      <c r="H7" s="26">
        <v>0</v>
      </c>
      <c r="I7" s="26">
        <v>0</v>
      </c>
      <c r="J7" s="54">
        <v>0</v>
      </c>
      <c r="K7" s="54">
        <v>0</v>
      </c>
      <c r="L7" s="54">
        <v>0</v>
      </c>
      <c r="M7" s="10">
        <v>0</v>
      </c>
      <c r="N7" s="26">
        <v>0</v>
      </c>
      <c r="O7" s="26">
        <v>0</v>
      </c>
      <c r="P7" s="24" t="s">
        <v>14</v>
      </c>
    </row>
    <row r="8" spans="1:22" x14ac:dyDescent="0.3">
      <c r="A8" s="78" t="s">
        <v>100</v>
      </c>
      <c r="B8" s="24">
        <v>73</v>
      </c>
      <c r="C8" s="24" t="s">
        <v>50</v>
      </c>
      <c r="D8" s="24">
        <v>313</v>
      </c>
      <c r="E8" s="24">
        <v>18</v>
      </c>
      <c r="F8" s="24">
        <v>13</v>
      </c>
      <c r="G8" s="24">
        <v>2</v>
      </c>
      <c r="H8" s="24">
        <v>1</v>
      </c>
      <c r="I8" s="24">
        <v>0</v>
      </c>
      <c r="J8" s="25">
        <v>0</v>
      </c>
      <c r="K8" s="25">
        <v>0</v>
      </c>
      <c r="L8" s="25">
        <v>0</v>
      </c>
      <c r="M8" s="54">
        <v>0</v>
      </c>
      <c r="N8" s="24">
        <v>0</v>
      </c>
      <c r="O8" s="24">
        <v>0</v>
      </c>
      <c r="P8" s="31" t="s">
        <v>16</v>
      </c>
    </row>
    <row r="9" spans="1:22" x14ac:dyDescent="0.3">
      <c r="A9" s="78" t="s">
        <v>100</v>
      </c>
      <c r="B9" s="24">
        <v>74</v>
      </c>
      <c r="C9" s="24" t="s">
        <v>37</v>
      </c>
      <c r="D9" s="24">
        <v>87</v>
      </c>
      <c r="E9" s="24">
        <v>0</v>
      </c>
      <c r="F9" s="24">
        <v>0</v>
      </c>
      <c r="G9" s="24">
        <v>0</v>
      </c>
      <c r="H9" s="24">
        <v>1</v>
      </c>
      <c r="I9" s="24">
        <v>0</v>
      </c>
      <c r="J9" s="25">
        <v>2</v>
      </c>
      <c r="K9" s="25">
        <v>0</v>
      </c>
      <c r="L9" s="25">
        <v>0</v>
      </c>
      <c r="M9" s="25">
        <v>0</v>
      </c>
      <c r="N9" s="24">
        <v>0</v>
      </c>
      <c r="O9" s="24">
        <v>0</v>
      </c>
      <c r="P9" s="31" t="s">
        <v>58</v>
      </c>
      <c r="Q9" s="4"/>
    </row>
    <row r="10" spans="1:22" x14ac:dyDescent="0.3">
      <c r="A10" s="78" t="s">
        <v>100</v>
      </c>
      <c r="B10" s="24">
        <v>75</v>
      </c>
      <c r="C10" s="24" t="s">
        <v>38</v>
      </c>
      <c r="D10" s="24">
        <v>39</v>
      </c>
      <c r="E10" s="24">
        <v>0</v>
      </c>
      <c r="F10" s="24">
        <v>69</v>
      </c>
      <c r="G10" s="24">
        <v>1</v>
      </c>
      <c r="H10" s="24">
        <v>0</v>
      </c>
      <c r="I10" s="24">
        <v>0</v>
      </c>
      <c r="J10" s="25">
        <v>0</v>
      </c>
      <c r="K10" s="25">
        <v>0</v>
      </c>
      <c r="L10" s="25">
        <v>0</v>
      </c>
      <c r="M10" s="25">
        <v>0</v>
      </c>
      <c r="N10" s="24">
        <v>0</v>
      </c>
      <c r="O10" s="24">
        <v>0</v>
      </c>
      <c r="P10" s="26" t="s">
        <v>14</v>
      </c>
    </row>
    <row r="11" spans="1:22" x14ac:dyDescent="0.3">
      <c r="A11" s="78" t="s">
        <v>100</v>
      </c>
      <c r="B11" s="24">
        <v>76</v>
      </c>
      <c r="C11" s="24" t="s">
        <v>39</v>
      </c>
      <c r="D11" s="24">
        <v>59</v>
      </c>
      <c r="E11" s="24">
        <v>8</v>
      </c>
      <c r="F11" s="24">
        <v>7</v>
      </c>
      <c r="G11" s="24">
        <v>1</v>
      </c>
      <c r="H11" s="24">
        <v>0</v>
      </c>
      <c r="I11" s="24">
        <v>0</v>
      </c>
      <c r="J11" s="25">
        <v>0</v>
      </c>
      <c r="K11" s="25">
        <v>0</v>
      </c>
      <c r="L11" s="25">
        <v>0</v>
      </c>
      <c r="M11" s="25">
        <v>0</v>
      </c>
      <c r="N11" s="24">
        <v>0</v>
      </c>
      <c r="O11" s="24">
        <v>0</v>
      </c>
      <c r="P11" s="31" t="s">
        <v>15</v>
      </c>
    </row>
    <row r="12" spans="1:22" x14ac:dyDescent="0.3">
      <c r="A12" s="78" t="s">
        <v>100</v>
      </c>
      <c r="B12" s="24">
        <v>78</v>
      </c>
      <c r="C12" s="24" t="s">
        <v>40</v>
      </c>
      <c r="D12" s="24">
        <v>84</v>
      </c>
      <c r="E12" s="24">
        <v>17</v>
      </c>
      <c r="F12" s="24">
        <v>0</v>
      </c>
      <c r="G12" s="24">
        <v>0</v>
      </c>
      <c r="H12" s="24">
        <v>0</v>
      </c>
      <c r="I12" s="24">
        <v>0</v>
      </c>
      <c r="J12" s="25">
        <v>0</v>
      </c>
      <c r="K12" s="25">
        <v>2</v>
      </c>
      <c r="L12" s="25">
        <v>0</v>
      </c>
      <c r="M12" s="25">
        <v>1</v>
      </c>
      <c r="N12" s="24">
        <v>0</v>
      </c>
      <c r="O12" s="24">
        <v>0</v>
      </c>
      <c r="P12" s="24" t="s">
        <v>14</v>
      </c>
    </row>
    <row r="13" spans="1:22" x14ac:dyDescent="0.3">
      <c r="A13" s="78" t="s">
        <v>100</v>
      </c>
      <c r="B13" s="24">
        <v>84</v>
      </c>
      <c r="C13" s="24" t="s">
        <v>41</v>
      </c>
      <c r="D13" s="24">
        <v>90</v>
      </c>
      <c r="E13" s="24">
        <v>0</v>
      </c>
      <c r="F13" s="24">
        <v>80</v>
      </c>
      <c r="G13" s="24">
        <v>0</v>
      </c>
      <c r="H13" s="24">
        <v>0</v>
      </c>
      <c r="I13" s="24">
        <v>0</v>
      </c>
      <c r="J13" s="25">
        <v>0</v>
      </c>
      <c r="K13" s="25">
        <v>0</v>
      </c>
      <c r="L13" s="25">
        <v>0</v>
      </c>
      <c r="M13" s="54">
        <v>0</v>
      </c>
      <c r="N13" s="24">
        <v>0</v>
      </c>
      <c r="O13" s="24">
        <v>0</v>
      </c>
      <c r="P13" s="31" t="s">
        <v>16</v>
      </c>
    </row>
    <row r="14" spans="1:22" x14ac:dyDescent="0.3">
      <c r="A14" s="78" t="s">
        <v>100</v>
      </c>
      <c r="B14" s="24">
        <v>85</v>
      </c>
      <c r="C14" s="24" t="s">
        <v>48</v>
      </c>
      <c r="D14" s="24">
        <v>1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5">
        <v>0</v>
      </c>
      <c r="K14" s="25">
        <v>0</v>
      </c>
      <c r="L14" s="25">
        <v>0</v>
      </c>
      <c r="M14" s="25">
        <v>0</v>
      </c>
      <c r="N14" s="24">
        <v>0</v>
      </c>
      <c r="O14" s="24">
        <v>0</v>
      </c>
      <c r="P14" s="24" t="s">
        <v>14</v>
      </c>
    </row>
    <row r="15" spans="1:22" x14ac:dyDescent="0.3">
      <c r="A15" s="78" t="s">
        <v>99</v>
      </c>
      <c r="B15" s="24">
        <v>30</v>
      </c>
      <c r="C15" s="24" t="s">
        <v>42</v>
      </c>
      <c r="D15" s="24">
        <v>3</v>
      </c>
      <c r="E15" s="24">
        <v>23</v>
      </c>
      <c r="F15" s="24">
        <v>60</v>
      </c>
      <c r="G15" s="24">
        <v>0</v>
      </c>
      <c r="H15" s="24">
        <v>0</v>
      </c>
      <c r="I15" s="24">
        <v>0</v>
      </c>
      <c r="J15" s="25">
        <v>0</v>
      </c>
      <c r="K15" s="25">
        <v>1</v>
      </c>
      <c r="L15" s="25">
        <v>0</v>
      </c>
      <c r="M15" s="25">
        <v>0</v>
      </c>
      <c r="N15" s="24">
        <v>0</v>
      </c>
      <c r="O15" s="24">
        <v>1</v>
      </c>
      <c r="P15" s="26" t="s">
        <v>14</v>
      </c>
    </row>
    <row r="16" spans="1:22" x14ac:dyDescent="0.3">
      <c r="A16" s="78" t="s">
        <v>99</v>
      </c>
      <c r="B16" s="24">
        <v>38</v>
      </c>
      <c r="C16" s="24" t="s">
        <v>43</v>
      </c>
      <c r="D16" s="24">
        <v>0</v>
      </c>
      <c r="E16" s="24">
        <v>2</v>
      </c>
      <c r="F16" s="24">
        <v>0</v>
      </c>
      <c r="G16" s="24">
        <v>1</v>
      </c>
      <c r="H16" s="24">
        <v>0</v>
      </c>
      <c r="I16" s="24">
        <v>0</v>
      </c>
      <c r="J16" s="25">
        <v>0</v>
      </c>
      <c r="K16" s="25">
        <v>0</v>
      </c>
      <c r="L16" s="25">
        <v>0</v>
      </c>
      <c r="M16" s="25">
        <v>0</v>
      </c>
      <c r="N16" s="24">
        <v>0</v>
      </c>
      <c r="O16" s="24">
        <v>0</v>
      </c>
      <c r="P16" s="24" t="s">
        <v>14</v>
      </c>
    </row>
    <row r="17" spans="1:16" x14ac:dyDescent="0.3">
      <c r="A17" s="78" t="s">
        <v>99</v>
      </c>
      <c r="B17" s="24">
        <v>58</v>
      </c>
      <c r="C17" s="24" t="s">
        <v>44</v>
      </c>
      <c r="D17" s="24">
        <v>1</v>
      </c>
      <c r="E17" s="24">
        <v>2</v>
      </c>
      <c r="F17" s="24">
        <v>0</v>
      </c>
      <c r="G17" s="24">
        <v>1</v>
      </c>
      <c r="H17" s="24">
        <v>0</v>
      </c>
      <c r="I17" s="24">
        <v>0</v>
      </c>
      <c r="J17" s="25">
        <v>0</v>
      </c>
      <c r="K17" s="25">
        <v>0</v>
      </c>
      <c r="L17" s="25">
        <v>0</v>
      </c>
      <c r="M17" s="54">
        <v>0</v>
      </c>
      <c r="N17" s="24">
        <v>0</v>
      </c>
      <c r="O17" s="24">
        <v>0</v>
      </c>
      <c r="P17" s="24" t="s">
        <v>14</v>
      </c>
    </row>
    <row r="18" spans="1:16" x14ac:dyDescent="0.3">
      <c r="A18" s="78" t="s">
        <v>99</v>
      </c>
      <c r="B18" s="24">
        <v>61</v>
      </c>
      <c r="C18" s="24" t="s">
        <v>45</v>
      </c>
      <c r="D18" s="24">
        <v>0</v>
      </c>
      <c r="E18" s="24">
        <v>2</v>
      </c>
      <c r="F18" s="24">
        <v>0</v>
      </c>
      <c r="G18" s="24">
        <v>3</v>
      </c>
      <c r="H18" s="24">
        <v>0</v>
      </c>
      <c r="I18" s="24">
        <v>0</v>
      </c>
      <c r="J18" s="25">
        <v>0</v>
      </c>
      <c r="K18" s="25">
        <v>0</v>
      </c>
      <c r="L18" s="25">
        <v>0</v>
      </c>
      <c r="M18" s="54">
        <v>1</v>
      </c>
      <c r="N18" s="24">
        <v>0</v>
      </c>
      <c r="O18" s="24">
        <v>0</v>
      </c>
      <c r="P18" s="24" t="s">
        <v>14</v>
      </c>
    </row>
    <row r="19" spans="1:16" x14ac:dyDescent="0.3">
      <c r="A19" s="78" t="s">
        <v>99</v>
      </c>
      <c r="B19" s="24">
        <v>62</v>
      </c>
      <c r="C19" s="24" t="s">
        <v>46</v>
      </c>
      <c r="D19" s="24">
        <v>1</v>
      </c>
      <c r="E19" s="24">
        <v>2</v>
      </c>
      <c r="F19" s="24">
        <v>0</v>
      </c>
      <c r="G19" s="24">
        <v>1</v>
      </c>
      <c r="H19" s="24">
        <v>0</v>
      </c>
      <c r="I19" s="24">
        <v>0</v>
      </c>
      <c r="J19" s="25">
        <v>0</v>
      </c>
      <c r="K19" s="25">
        <v>0</v>
      </c>
      <c r="L19" s="25">
        <v>0</v>
      </c>
      <c r="M19" s="54">
        <v>0</v>
      </c>
      <c r="N19" s="24">
        <v>0</v>
      </c>
      <c r="O19" s="24">
        <v>0</v>
      </c>
      <c r="P19" s="24" t="s">
        <v>14</v>
      </c>
    </row>
    <row r="20" spans="1:16" x14ac:dyDescent="0.3">
      <c r="A20" s="78" t="s">
        <v>99</v>
      </c>
      <c r="B20" s="24">
        <v>65</v>
      </c>
      <c r="C20" s="24" t="s">
        <v>47</v>
      </c>
      <c r="D20" s="24">
        <v>1</v>
      </c>
      <c r="E20" s="24">
        <v>3</v>
      </c>
      <c r="F20" s="24">
        <v>0</v>
      </c>
      <c r="G20" s="24">
        <v>0</v>
      </c>
      <c r="H20" s="24">
        <v>0</v>
      </c>
      <c r="I20" s="24">
        <v>0</v>
      </c>
      <c r="J20" s="25">
        <v>0</v>
      </c>
      <c r="K20" s="25">
        <v>0</v>
      </c>
      <c r="L20" s="25">
        <v>0</v>
      </c>
      <c r="M20" s="25">
        <v>0</v>
      </c>
      <c r="N20" s="24">
        <v>1</v>
      </c>
      <c r="O20" s="24">
        <v>0</v>
      </c>
      <c r="P20" s="24" t="s">
        <v>14</v>
      </c>
    </row>
    <row r="21" spans="1:16" x14ac:dyDescent="0.3">
      <c r="A21" s="78" t="s">
        <v>100</v>
      </c>
      <c r="B21" s="24">
        <v>66</v>
      </c>
      <c r="C21" s="24" t="s">
        <v>52</v>
      </c>
      <c r="D21" s="24">
        <v>47</v>
      </c>
      <c r="E21" s="24">
        <v>7</v>
      </c>
      <c r="F21" s="24">
        <v>0</v>
      </c>
      <c r="G21" s="24">
        <v>0</v>
      </c>
      <c r="H21" s="24">
        <v>0</v>
      </c>
      <c r="I21" s="24">
        <v>1</v>
      </c>
      <c r="J21" s="25">
        <v>2</v>
      </c>
      <c r="K21" s="25">
        <v>0</v>
      </c>
      <c r="L21" s="25">
        <v>0</v>
      </c>
      <c r="M21" s="54">
        <v>0</v>
      </c>
      <c r="N21" s="24">
        <v>0</v>
      </c>
      <c r="O21" s="24">
        <v>0</v>
      </c>
      <c r="P21" s="31" t="s">
        <v>15</v>
      </c>
    </row>
    <row r="22" spans="1:16" x14ac:dyDescent="0.3">
      <c r="A22" s="78" t="s">
        <v>100</v>
      </c>
      <c r="B22" s="24">
        <v>83</v>
      </c>
      <c r="C22" s="24" t="s">
        <v>26</v>
      </c>
      <c r="D22" s="24">
        <v>14</v>
      </c>
      <c r="E22" s="24">
        <v>7</v>
      </c>
      <c r="F22" s="24">
        <v>0</v>
      </c>
      <c r="G22" s="24">
        <v>0</v>
      </c>
      <c r="H22" s="24">
        <v>0</v>
      </c>
      <c r="I22" s="24">
        <v>0</v>
      </c>
      <c r="J22" s="25">
        <v>1</v>
      </c>
      <c r="K22" s="25">
        <v>0</v>
      </c>
      <c r="L22" s="25">
        <v>0</v>
      </c>
      <c r="M22" s="25">
        <v>0</v>
      </c>
      <c r="N22" s="24">
        <v>0</v>
      </c>
      <c r="O22" s="24">
        <v>0</v>
      </c>
      <c r="P22" s="24" t="s">
        <v>14</v>
      </c>
    </row>
    <row r="23" spans="1:16" x14ac:dyDescent="0.3">
      <c r="A23" s="78" t="s">
        <v>99</v>
      </c>
      <c r="B23" s="24">
        <v>70</v>
      </c>
      <c r="C23" s="24" t="s">
        <v>27</v>
      </c>
      <c r="D23" s="24">
        <v>1</v>
      </c>
      <c r="E23" s="24">
        <v>6</v>
      </c>
      <c r="F23" s="24">
        <v>0</v>
      </c>
      <c r="G23" s="24">
        <v>0</v>
      </c>
      <c r="H23" s="24">
        <v>0</v>
      </c>
      <c r="I23" s="24">
        <v>0</v>
      </c>
      <c r="J23" s="25">
        <v>0</v>
      </c>
      <c r="K23" s="25">
        <v>0</v>
      </c>
      <c r="L23" s="25">
        <v>0</v>
      </c>
      <c r="M23" s="54">
        <v>0</v>
      </c>
      <c r="N23" s="24">
        <v>0</v>
      </c>
      <c r="O23" s="24">
        <v>0</v>
      </c>
      <c r="P23" s="24" t="s">
        <v>14</v>
      </c>
    </row>
    <row r="24" spans="1:16" x14ac:dyDescent="0.3">
      <c r="A24" s="78" t="s">
        <v>99</v>
      </c>
      <c r="B24" s="24">
        <v>71</v>
      </c>
      <c r="C24" s="24" t="s">
        <v>28</v>
      </c>
      <c r="D24" s="24">
        <v>40</v>
      </c>
      <c r="E24" s="24">
        <v>261</v>
      </c>
      <c r="F24" s="24">
        <v>227</v>
      </c>
      <c r="G24" s="24">
        <v>1</v>
      </c>
      <c r="H24" s="24">
        <v>0</v>
      </c>
      <c r="I24" s="24">
        <v>0</v>
      </c>
      <c r="J24" s="25">
        <v>0</v>
      </c>
      <c r="K24" s="25">
        <v>4</v>
      </c>
      <c r="L24" s="25">
        <v>1</v>
      </c>
      <c r="M24" s="25">
        <v>0</v>
      </c>
      <c r="N24" s="24">
        <v>0</v>
      </c>
      <c r="O24" s="24">
        <v>0</v>
      </c>
      <c r="P24" s="32" t="s">
        <v>16</v>
      </c>
    </row>
    <row r="25" spans="1:16" x14ac:dyDescent="0.3">
      <c r="A25" s="78" t="s">
        <v>99</v>
      </c>
      <c r="B25" s="24">
        <v>79</v>
      </c>
      <c r="C25" s="24" t="s">
        <v>29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5">
        <v>0</v>
      </c>
      <c r="K25" s="25">
        <v>0</v>
      </c>
      <c r="L25" s="25">
        <v>0</v>
      </c>
      <c r="M25" s="25">
        <v>1</v>
      </c>
      <c r="N25" s="24">
        <v>0</v>
      </c>
      <c r="O25" s="24">
        <v>0</v>
      </c>
      <c r="P25" s="24" t="s">
        <v>14</v>
      </c>
    </row>
    <row r="26" spans="1:16" x14ac:dyDescent="0.3">
      <c r="A26" s="78" t="s">
        <v>99</v>
      </c>
      <c r="B26" s="24">
        <v>80</v>
      </c>
      <c r="C26" s="24" t="s">
        <v>30</v>
      </c>
      <c r="D26" s="24">
        <v>0</v>
      </c>
      <c r="E26" s="24">
        <v>2</v>
      </c>
      <c r="F26" s="24">
        <v>0</v>
      </c>
      <c r="G26" s="24">
        <v>2</v>
      </c>
      <c r="H26" s="24">
        <v>0</v>
      </c>
      <c r="I26" s="24">
        <v>0</v>
      </c>
      <c r="J26" s="25">
        <v>0</v>
      </c>
      <c r="K26" s="25">
        <v>0</v>
      </c>
      <c r="L26" s="25">
        <v>0</v>
      </c>
      <c r="M26" s="54">
        <v>0</v>
      </c>
      <c r="N26" s="24">
        <v>0</v>
      </c>
      <c r="O26" s="24">
        <v>0</v>
      </c>
      <c r="P26" s="24" t="s">
        <v>14</v>
      </c>
    </row>
    <row r="27" spans="1:16" x14ac:dyDescent="0.3">
      <c r="A27" s="78" t="s">
        <v>99</v>
      </c>
      <c r="B27" s="24">
        <v>81</v>
      </c>
      <c r="C27" s="24" t="s">
        <v>31</v>
      </c>
      <c r="D27" s="24">
        <v>0</v>
      </c>
      <c r="E27" s="24">
        <v>4</v>
      </c>
      <c r="F27" s="24">
        <v>0</v>
      </c>
      <c r="G27" s="24">
        <v>0</v>
      </c>
      <c r="H27" s="24">
        <v>0</v>
      </c>
      <c r="I27" s="24">
        <v>0</v>
      </c>
      <c r="J27" s="25">
        <v>0</v>
      </c>
      <c r="K27" s="25">
        <v>0</v>
      </c>
      <c r="L27" s="25">
        <v>0</v>
      </c>
      <c r="M27" s="54">
        <v>0</v>
      </c>
      <c r="N27" s="24">
        <v>0</v>
      </c>
      <c r="O27" s="24">
        <v>0</v>
      </c>
      <c r="P27" s="26" t="s">
        <v>14</v>
      </c>
    </row>
    <row r="28" spans="1:16" x14ac:dyDescent="0.3">
      <c r="A28" s="78" t="s">
        <v>99</v>
      </c>
      <c r="B28" s="24">
        <v>82</v>
      </c>
      <c r="C28" s="24" t="s">
        <v>32</v>
      </c>
      <c r="D28" s="24">
        <v>19</v>
      </c>
      <c r="E28" s="24">
        <v>3</v>
      </c>
      <c r="F28" s="24">
        <v>1</v>
      </c>
      <c r="G28" s="24">
        <v>2</v>
      </c>
      <c r="H28" s="24">
        <v>1</v>
      </c>
      <c r="I28" s="24">
        <v>1</v>
      </c>
      <c r="J28" s="25">
        <v>1</v>
      </c>
      <c r="K28" s="25">
        <v>0</v>
      </c>
      <c r="L28" s="25">
        <v>0</v>
      </c>
      <c r="M28" s="54">
        <v>0</v>
      </c>
      <c r="N28" s="24">
        <v>1</v>
      </c>
      <c r="O28" s="24">
        <v>0</v>
      </c>
      <c r="P28" s="24" t="s">
        <v>14</v>
      </c>
    </row>
    <row r="29" spans="1:16" x14ac:dyDescent="0.3">
      <c r="B29" s="33" t="s">
        <v>9</v>
      </c>
      <c r="C29" s="33" t="s">
        <v>9</v>
      </c>
      <c r="D29" s="33">
        <f t="shared" ref="D29:O29" si="0">SUM(D4:D28)</f>
        <v>893</v>
      </c>
      <c r="E29" s="33">
        <f t="shared" si="0"/>
        <v>502</v>
      </c>
      <c r="F29" s="33">
        <f t="shared" si="0"/>
        <v>489</v>
      </c>
      <c r="G29" s="33">
        <f t="shared" si="0"/>
        <v>16</v>
      </c>
      <c r="H29" s="33">
        <f t="shared" si="0"/>
        <v>3</v>
      </c>
      <c r="I29" s="33">
        <f t="shared" si="0"/>
        <v>3</v>
      </c>
      <c r="J29" s="34">
        <f t="shared" si="0"/>
        <v>8</v>
      </c>
      <c r="K29" s="34">
        <f>SUM(K4:K28)</f>
        <v>7</v>
      </c>
      <c r="L29" s="34">
        <f>SUM(L4:L28)</f>
        <v>1</v>
      </c>
      <c r="M29" s="34">
        <f t="shared" si="0"/>
        <v>3</v>
      </c>
      <c r="N29" s="33">
        <f t="shared" si="0"/>
        <v>2</v>
      </c>
      <c r="O29" s="33">
        <f t="shared" si="0"/>
        <v>2</v>
      </c>
      <c r="P29" s="36"/>
    </row>
    <row r="30" spans="1:16" s="19" customFormat="1" x14ac:dyDescent="0.3">
      <c r="B30" s="37" t="s">
        <v>20</v>
      </c>
      <c r="C30" s="38" t="s">
        <v>76</v>
      </c>
      <c r="D30" s="98">
        <f t="shared" ref="D30:N30" si="1">AVERAGE(D4:D28)</f>
        <v>35.72</v>
      </c>
      <c r="E30" s="98">
        <f t="shared" si="1"/>
        <v>20.079999999999998</v>
      </c>
      <c r="F30" s="100">
        <f t="shared" si="1"/>
        <v>19.559999999999999</v>
      </c>
      <c r="G30" s="98">
        <f t="shared" si="1"/>
        <v>0.64</v>
      </c>
      <c r="H30" s="98">
        <f t="shared" si="1"/>
        <v>0.12</v>
      </c>
      <c r="I30" s="98">
        <f t="shared" si="1"/>
        <v>0.12</v>
      </c>
      <c r="J30" s="100">
        <f t="shared" si="1"/>
        <v>0.32</v>
      </c>
      <c r="K30" s="100">
        <f t="shared" si="1"/>
        <v>0.28000000000000003</v>
      </c>
      <c r="L30" s="100">
        <f t="shared" si="1"/>
        <v>0.04</v>
      </c>
      <c r="M30" s="100">
        <f t="shared" si="1"/>
        <v>0.12</v>
      </c>
      <c r="N30" s="98">
        <f t="shared" si="1"/>
        <v>0.08</v>
      </c>
      <c r="O30" s="100">
        <v>0</v>
      </c>
      <c r="P30" s="41"/>
    </row>
    <row r="31" spans="1:16" s="17" customFormat="1" ht="30.45" customHeight="1" x14ac:dyDescent="0.3">
      <c r="B31" s="42"/>
      <c r="C31" s="43" t="s">
        <v>73</v>
      </c>
      <c r="D31" s="44">
        <v>46</v>
      </c>
      <c r="E31" s="38">
        <v>27</v>
      </c>
      <c r="F31" s="39">
        <v>54</v>
      </c>
      <c r="G31" s="45">
        <v>1</v>
      </c>
      <c r="H31" s="46">
        <v>0</v>
      </c>
      <c r="I31" s="46">
        <v>0</v>
      </c>
      <c r="J31" s="47">
        <v>1</v>
      </c>
      <c r="K31" s="39">
        <v>2</v>
      </c>
      <c r="L31" s="38">
        <v>0</v>
      </c>
      <c r="M31" s="39">
        <v>1</v>
      </c>
      <c r="N31" s="38">
        <v>1</v>
      </c>
      <c r="O31" s="39">
        <v>1</v>
      </c>
      <c r="P31" s="48"/>
    </row>
    <row r="32" spans="1:16" ht="27" customHeight="1" x14ac:dyDescent="0.3">
      <c r="B32" s="3"/>
      <c r="G32" s="5"/>
      <c r="H32" s="5"/>
      <c r="I32" s="5"/>
      <c r="J32" s="5"/>
      <c r="K32" s="3"/>
      <c r="L32" s="3"/>
      <c r="M32" s="18"/>
    </row>
    <row r="33" spans="2:13" x14ac:dyDescent="0.3">
      <c r="B33" s="6"/>
      <c r="C33" s="49"/>
      <c r="G33" s="3"/>
      <c r="H33" s="3"/>
      <c r="I33" s="3"/>
      <c r="J33" s="3"/>
      <c r="K33" s="3"/>
      <c r="L33" s="3"/>
      <c r="M33" s="18"/>
    </row>
    <row r="34" spans="2:13" x14ac:dyDescent="0.3">
      <c r="B34" s="7"/>
      <c r="C34" s="49"/>
      <c r="G34" s="3"/>
      <c r="H34" s="3"/>
      <c r="I34" s="3"/>
      <c r="J34" s="3"/>
      <c r="K34" s="3"/>
      <c r="L34" s="3"/>
      <c r="M34" s="18"/>
    </row>
    <row r="35" spans="2:13" x14ac:dyDescent="0.3">
      <c r="B35" s="8"/>
      <c r="C35" s="49"/>
      <c r="G35" s="3"/>
      <c r="H35" s="3"/>
      <c r="I35" s="3"/>
      <c r="J35" s="3"/>
      <c r="K35" s="3"/>
      <c r="L35" s="3"/>
      <c r="M35" s="18"/>
    </row>
    <row r="36" spans="2:13" x14ac:dyDescent="0.3">
      <c r="B36" s="9"/>
      <c r="C36" s="49"/>
      <c r="G36" s="3"/>
      <c r="H36" s="3"/>
      <c r="I36" s="3"/>
      <c r="J36" s="3"/>
      <c r="K36" s="3"/>
      <c r="L36" s="3"/>
      <c r="M36" s="18"/>
    </row>
    <row r="37" spans="2:13" x14ac:dyDescent="0.3">
      <c r="B37" s="3"/>
      <c r="G37" s="3"/>
      <c r="H37" s="3"/>
      <c r="I37" s="3"/>
      <c r="J37" s="3"/>
      <c r="K37" s="3"/>
      <c r="L37" s="3"/>
      <c r="M37" s="18"/>
    </row>
  </sheetData>
  <phoneticPr fontId="0" type="noConversion"/>
  <pageMargins left="0.99803149599999996" right="0.39370078740157499" top="0.98425196850393704" bottom="0.98425196850393704" header="0.511811023622047" footer="0.511811023622047"/>
  <pageSetup orientation="portrait" horizontalDpi="300" verticalDpi="300" r:id="rId1"/>
  <headerFooter alignWithMargins="0">
    <oddHeader>&amp;LTable 1.  Summary of defoliators in 25 Permanent Sample Plots in the West Nelson Forest Region, 2002.</oddHeader>
    <oddFooter>&amp;L&amp;"Franklin Gothic Book,Regular"&amp;8JCH Forest Pest Management&amp;R&amp;"Franklin Gothic Book,Regular"&amp;8&amp;D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59999389629810485"/>
  </sheetPr>
  <dimension ref="A1:W51"/>
  <sheetViews>
    <sheetView zoomScale="75" workbookViewId="0">
      <selection activeCell="D4" sqref="D4:D28"/>
    </sheetView>
  </sheetViews>
  <sheetFormatPr defaultColWidth="8.765625" defaultRowHeight="12.45" x14ac:dyDescent="0.3"/>
  <cols>
    <col min="2" max="2" width="4.69140625" style="1" customWidth="1"/>
    <col min="3" max="3" width="15.3046875" style="3" customWidth="1"/>
    <col min="4" max="4" width="5.3046875" customWidth="1"/>
    <col min="5" max="5" width="3.4609375" customWidth="1"/>
    <col min="6" max="6" width="5" customWidth="1"/>
    <col min="7" max="7" width="4.07421875" style="1" customWidth="1"/>
    <col min="8" max="8" width="3.4609375" customWidth="1"/>
    <col min="9" max="9" width="4.3046875" customWidth="1"/>
    <col min="10" max="10" width="4" customWidth="1"/>
    <col min="11" max="11" width="3.765625" style="51" customWidth="1"/>
    <col min="12" max="12" width="5.07421875" customWidth="1"/>
    <col min="13" max="13" width="3.69140625" customWidth="1"/>
    <col min="14" max="15" width="4.3046875" customWidth="1"/>
    <col min="16" max="16" width="3.69140625" customWidth="1"/>
    <col min="17" max="17" width="3.3046875" customWidth="1"/>
  </cols>
  <sheetData>
    <row r="1" spans="1:23" ht="20.149999999999999" x14ac:dyDescent="0.4">
      <c r="B1" s="117" t="s">
        <v>79</v>
      </c>
    </row>
    <row r="2" spans="1:23" s="3" customFormat="1" ht="28.2" customHeight="1" x14ac:dyDescent="0.4">
      <c r="D2" s="12"/>
      <c r="E2" s="13"/>
      <c r="F2" s="14"/>
      <c r="G2" s="11"/>
      <c r="H2" s="13"/>
      <c r="I2" s="13"/>
      <c r="J2" s="13"/>
      <c r="K2" s="10"/>
      <c r="L2" s="13"/>
      <c r="M2" s="13"/>
      <c r="N2" s="13"/>
      <c r="O2" s="13"/>
      <c r="P2" s="13"/>
      <c r="Q2" s="14"/>
    </row>
    <row r="3" spans="1:23" s="2" customFormat="1" ht="174.45" customHeight="1" x14ac:dyDescent="0.3">
      <c r="A3" s="2" t="s">
        <v>98</v>
      </c>
      <c r="B3" s="20" t="s">
        <v>0</v>
      </c>
      <c r="C3" s="20" t="s">
        <v>25</v>
      </c>
      <c r="D3" s="21" t="s">
        <v>5</v>
      </c>
      <c r="E3" s="21" t="s">
        <v>6</v>
      </c>
      <c r="F3" s="21" t="s">
        <v>1</v>
      </c>
      <c r="G3" s="21" t="s">
        <v>7</v>
      </c>
      <c r="H3" s="21" t="s">
        <v>4</v>
      </c>
      <c r="I3" s="21" t="s">
        <v>3</v>
      </c>
      <c r="J3" s="22" t="s">
        <v>2</v>
      </c>
      <c r="K3" s="22" t="s">
        <v>18</v>
      </c>
      <c r="L3" s="21" t="s">
        <v>12</v>
      </c>
      <c r="M3" s="21" t="s">
        <v>54</v>
      </c>
      <c r="N3" s="21" t="s">
        <v>24</v>
      </c>
      <c r="O3" s="21" t="s">
        <v>56</v>
      </c>
      <c r="P3" s="21" t="s">
        <v>53</v>
      </c>
      <c r="Q3" s="21" t="s">
        <v>13</v>
      </c>
      <c r="R3" s="53"/>
      <c r="S3" s="53"/>
      <c r="T3" s="53"/>
      <c r="U3" s="53"/>
      <c r="V3" s="53"/>
      <c r="W3" s="53"/>
    </row>
    <row r="4" spans="1:23" x14ac:dyDescent="0.3">
      <c r="A4" s="78" t="s">
        <v>100</v>
      </c>
      <c r="B4" s="24">
        <v>69</v>
      </c>
      <c r="C4" s="24" t="s">
        <v>33</v>
      </c>
      <c r="D4" s="24">
        <v>2</v>
      </c>
      <c r="E4" s="24">
        <v>7</v>
      </c>
      <c r="F4" s="24">
        <v>3</v>
      </c>
      <c r="G4" s="24">
        <v>0</v>
      </c>
      <c r="H4" s="24">
        <v>0</v>
      </c>
      <c r="I4" s="24">
        <v>0</v>
      </c>
      <c r="J4" s="25">
        <v>0</v>
      </c>
      <c r="K4" s="25">
        <v>0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 t="s">
        <v>14</v>
      </c>
      <c r="R4" s="1"/>
      <c r="S4" s="3"/>
      <c r="T4" s="3"/>
      <c r="U4" s="3"/>
      <c r="V4" s="3"/>
      <c r="W4" s="3"/>
    </row>
    <row r="5" spans="1:23" x14ac:dyDescent="0.3">
      <c r="A5" s="78" t="s">
        <v>100</v>
      </c>
      <c r="B5" s="24">
        <v>72</v>
      </c>
      <c r="C5" s="24" t="s">
        <v>34</v>
      </c>
      <c r="D5" s="24">
        <v>21</v>
      </c>
      <c r="E5" s="24">
        <v>2</v>
      </c>
      <c r="F5" s="24">
        <v>4</v>
      </c>
      <c r="G5" s="24">
        <v>4</v>
      </c>
      <c r="H5" s="24">
        <v>0</v>
      </c>
      <c r="I5" s="24">
        <v>1</v>
      </c>
      <c r="J5" s="25">
        <v>1</v>
      </c>
      <c r="K5" s="25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 t="s">
        <v>14</v>
      </c>
    </row>
    <row r="6" spans="1:23" x14ac:dyDescent="0.3">
      <c r="A6" s="78" t="s">
        <v>100</v>
      </c>
      <c r="B6" s="24">
        <v>86</v>
      </c>
      <c r="C6" s="24" t="s">
        <v>35</v>
      </c>
      <c r="D6" s="24">
        <v>62</v>
      </c>
      <c r="E6" s="24">
        <v>69</v>
      </c>
      <c r="F6" s="24">
        <v>10</v>
      </c>
      <c r="G6" s="24">
        <v>0</v>
      </c>
      <c r="H6" s="24">
        <v>0</v>
      </c>
      <c r="I6" s="24">
        <v>2</v>
      </c>
      <c r="J6" s="25">
        <v>0</v>
      </c>
      <c r="K6" s="25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9" t="s">
        <v>15</v>
      </c>
    </row>
    <row r="7" spans="1:23" x14ac:dyDescent="0.3">
      <c r="A7" s="78" t="s">
        <v>100</v>
      </c>
      <c r="B7" s="24">
        <v>87</v>
      </c>
      <c r="C7" s="24" t="s">
        <v>36</v>
      </c>
      <c r="D7" s="26">
        <v>3</v>
      </c>
      <c r="E7" s="26">
        <v>7</v>
      </c>
      <c r="F7" s="26">
        <v>2</v>
      </c>
      <c r="G7" s="52">
        <v>1</v>
      </c>
      <c r="H7" s="26">
        <v>0</v>
      </c>
      <c r="I7" s="26">
        <v>0</v>
      </c>
      <c r="J7" s="54">
        <v>0</v>
      </c>
      <c r="K7" s="10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4" t="s">
        <v>14</v>
      </c>
    </row>
    <row r="8" spans="1:23" x14ac:dyDescent="0.3">
      <c r="A8" s="78" t="s">
        <v>100</v>
      </c>
      <c r="B8" s="24">
        <v>73</v>
      </c>
      <c r="C8" s="24" t="s">
        <v>50</v>
      </c>
      <c r="D8" s="24">
        <v>83</v>
      </c>
      <c r="E8" s="24">
        <v>1</v>
      </c>
      <c r="F8" s="24">
        <v>4</v>
      </c>
      <c r="G8" s="24">
        <v>1</v>
      </c>
      <c r="H8" s="24">
        <v>2</v>
      </c>
      <c r="I8" s="24">
        <v>0</v>
      </c>
      <c r="J8" s="25">
        <v>1</v>
      </c>
      <c r="K8" s="5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31" t="s">
        <v>15</v>
      </c>
    </row>
    <row r="9" spans="1:23" x14ac:dyDescent="0.3">
      <c r="A9" s="78" t="s">
        <v>100</v>
      </c>
      <c r="B9" s="24">
        <v>74</v>
      </c>
      <c r="C9" s="24" t="s">
        <v>37</v>
      </c>
      <c r="D9" s="24">
        <v>879</v>
      </c>
      <c r="E9" s="24">
        <v>0</v>
      </c>
      <c r="F9" s="24">
        <v>14</v>
      </c>
      <c r="G9" s="24">
        <v>1</v>
      </c>
      <c r="H9" s="24">
        <v>0</v>
      </c>
      <c r="I9" s="24">
        <v>0</v>
      </c>
      <c r="J9" s="25">
        <v>0</v>
      </c>
      <c r="K9" s="25">
        <v>0</v>
      </c>
      <c r="L9" s="24">
        <v>1</v>
      </c>
      <c r="M9" s="24">
        <v>0</v>
      </c>
      <c r="N9" s="24">
        <v>0</v>
      </c>
      <c r="O9" s="24">
        <v>0</v>
      </c>
      <c r="P9" s="24">
        <v>0</v>
      </c>
      <c r="Q9" s="31" t="s">
        <v>55</v>
      </c>
      <c r="R9" s="4"/>
    </row>
    <row r="10" spans="1:23" x14ac:dyDescent="0.3">
      <c r="A10" s="78" t="s">
        <v>100</v>
      </c>
      <c r="B10" s="24">
        <v>75</v>
      </c>
      <c r="C10" s="24" t="s">
        <v>38</v>
      </c>
      <c r="D10" s="24">
        <v>67</v>
      </c>
      <c r="E10" s="24">
        <v>0</v>
      </c>
      <c r="F10" s="24">
        <v>0</v>
      </c>
      <c r="G10" s="24">
        <v>1</v>
      </c>
      <c r="H10" s="24">
        <v>0</v>
      </c>
      <c r="I10" s="24">
        <v>0</v>
      </c>
      <c r="J10" s="25">
        <v>0</v>
      </c>
      <c r="K10" s="25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31" t="s">
        <v>16</v>
      </c>
    </row>
    <row r="11" spans="1:23" x14ac:dyDescent="0.3">
      <c r="A11" s="78" t="s">
        <v>100</v>
      </c>
      <c r="B11" s="24">
        <v>76</v>
      </c>
      <c r="C11" s="24" t="s">
        <v>39</v>
      </c>
      <c r="D11" s="24">
        <v>202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5">
        <v>2</v>
      </c>
      <c r="K11" s="25">
        <v>1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31" t="s">
        <v>15</v>
      </c>
    </row>
    <row r="12" spans="1:23" x14ac:dyDescent="0.3">
      <c r="A12" s="78" t="s">
        <v>100</v>
      </c>
      <c r="B12" s="24">
        <v>78</v>
      </c>
      <c r="C12" s="24" t="s">
        <v>40</v>
      </c>
      <c r="D12" s="24">
        <v>47</v>
      </c>
      <c r="E12" s="24">
        <v>0</v>
      </c>
      <c r="F12" s="24">
        <v>0</v>
      </c>
      <c r="G12" s="24">
        <v>1</v>
      </c>
      <c r="H12" s="24">
        <v>3</v>
      </c>
      <c r="I12" s="24">
        <v>0</v>
      </c>
      <c r="J12" s="25">
        <v>0</v>
      </c>
      <c r="K12" s="25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 t="s">
        <v>14</v>
      </c>
    </row>
    <row r="13" spans="1:23" x14ac:dyDescent="0.3">
      <c r="A13" s="78" t="s">
        <v>100</v>
      </c>
      <c r="B13" s="24">
        <v>84</v>
      </c>
      <c r="C13" s="24" t="s">
        <v>41</v>
      </c>
      <c r="D13" s="24">
        <v>544</v>
      </c>
      <c r="E13" s="24">
        <v>2</v>
      </c>
      <c r="F13" s="24">
        <v>7</v>
      </c>
      <c r="G13" s="24">
        <v>0</v>
      </c>
      <c r="H13" s="24">
        <v>0</v>
      </c>
      <c r="I13" s="24">
        <v>0</v>
      </c>
      <c r="J13" s="25">
        <v>0</v>
      </c>
      <c r="K13" s="54">
        <v>0</v>
      </c>
      <c r="L13" s="24">
        <v>1</v>
      </c>
      <c r="M13" s="24">
        <v>0</v>
      </c>
      <c r="N13" s="24">
        <v>0</v>
      </c>
      <c r="O13" s="24">
        <v>0</v>
      </c>
      <c r="P13" s="24">
        <v>0</v>
      </c>
      <c r="Q13" s="31" t="s">
        <v>16</v>
      </c>
    </row>
    <row r="14" spans="1:23" x14ac:dyDescent="0.3">
      <c r="A14" s="78" t="s">
        <v>100</v>
      </c>
      <c r="B14" s="24">
        <v>85</v>
      </c>
      <c r="C14" s="24" t="s">
        <v>48</v>
      </c>
      <c r="D14" s="24">
        <v>9</v>
      </c>
      <c r="E14" s="24">
        <v>0</v>
      </c>
      <c r="F14" s="24">
        <v>3</v>
      </c>
      <c r="G14" s="24">
        <v>0</v>
      </c>
      <c r="H14" s="24">
        <v>0</v>
      </c>
      <c r="I14" s="24">
        <v>0</v>
      </c>
      <c r="J14" s="25">
        <v>0</v>
      </c>
      <c r="K14" s="25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 t="s">
        <v>14</v>
      </c>
    </row>
    <row r="15" spans="1:23" x14ac:dyDescent="0.3">
      <c r="A15" s="78" t="s">
        <v>99</v>
      </c>
      <c r="B15" s="24">
        <v>30</v>
      </c>
      <c r="C15" s="24" t="s">
        <v>42</v>
      </c>
      <c r="D15" s="24">
        <v>13</v>
      </c>
      <c r="E15" s="24">
        <v>48</v>
      </c>
      <c r="F15" s="24">
        <v>110</v>
      </c>
      <c r="G15" s="24">
        <v>0</v>
      </c>
      <c r="H15" s="24">
        <v>0</v>
      </c>
      <c r="I15" s="24">
        <v>0</v>
      </c>
      <c r="J15" s="25">
        <v>0</v>
      </c>
      <c r="K15" s="25">
        <v>8</v>
      </c>
      <c r="L15" s="24">
        <v>0</v>
      </c>
      <c r="M15" s="24">
        <v>0</v>
      </c>
      <c r="N15" s="24">
        <v>1</v>
      </c>
      <c r="O15" s="24">
        <v>1</v>
      </c>
      <c r="P15" s="24">
        <v>0</v>
      </c>
      <c r="Q15" s="26" t="s">
        <v>14</v>
      </c>
    </row>
    <row r="16" spans="1:23" x14ac:dyDescent="0.3">
      <c r="A16" s="78" t="s">
        <v>99</v>
      </c>
      <c r="B16" s="24">
        <v>38</v>
      </c>
      <c r="C16" s="24" t="s">
        <v>43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5">
        <v>0</v>
      </c>
      <c r="K16" s="25">
        <v>3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 t="s">
        <v>14</v>
      </c>
    </row>
    <row r="17" spans="1:17" x14ac:dyDescent="0.3">
      <c r="A17" s="78" t="s">
        <v>99</v>
      </c>
      <c r="B17" s="24">
        <v>58</v>
      </c>
      <c r="C17" s="24" t="s">
        <v>44</v>
      </c>
      <c r="D17" s="24">
        <v>0</v>
      </c>
      <c r="E17" s="24">
        <v>1</v>
      </c>
      <c r="F17" s="24">
        <v>0</v>
      </c>
      <c r="G17" s="24">
        <v>2</v>
      </c>
      <c r="H17" s="24">
        <v>0</v>
      </c>
      <c r="I17" s="24">
        <v>2</v>
      </c>
      <c r="J17" s="25">
        <v>0</v>
      </c>
      <c r="K17" s="54">
        <v>3</v>
      </c>
      <c r="L17" s="24">
        <v>0</v>
      </c>
      <c r="M17" s="24">
        <v>0</v>
      </c>
      <c r="N17" s="24">
        <v>1</v>
      </c>
      <c r="O17" s="24">
        <v>0</v>
      </c>
      <c r="P17" s="24">
        <v>0</v>
      </c>
      <c r="Q17" s="24" t="s">
        <v>14</v>
      </c>
    </row>
    <row r="18" spans="1:17" x14ac:dyDescent="0.3">
      <c r="A18" s="78" t="s">
        <v>99</v>
      </c>
      <c r="B18" s="24">
        <v>61</v>
      </c>
      <c r="C18" s="24" t="s">
        <v>45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5</v>
      </c>
      <c r="J18" s="25">
        <v>0</v>
      </c>
      <c r="K18" s="54">
        <v>12</v>
      </c>
      <c r="L18" s="24">
        <v>1</v>
      </c>
      <c r="M18" s="24">
        <v>0</v>
      </c>
      <c r="N18" s="24">
        <v>0</v>
      </c>
      <c r="O18" s="24">
        <v>0</v>
      </c>
      <c r="P18" s="24">
        <v>0</v>
      </c>
      <c r="Q18" s="24" t="s">
        <v>14</v>
      </c>
    </row>
    <row r="19" spans="1:17" x14ac:dyDescent="0.3">
      <c r="A19" s="78" t="s">
        <v>99</v>
      </c>
      <c r="B19" s="24">
        <v>62</v>
      </c>
      <c r="C19" s="24" t="s">
        <v>46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3</v>
      </c>
      <c r="J19" s="25">
        <v>0</v>
      </c>
      <c r="K19" s="5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 t="s">
        <v>14</v>
      </c>
    </row>
    <row r="20" spans="1:17" x14ac:dyDescent="0.3">
      <c r="A20" s="78" t="s">
        <v>99</v>
      </c>
      <c r="B20" s="24">
        <v>65</v>
      </c>
      <c r="C20" s="24" t="s">
        <v>47</v>
      </c>
      <c r="D20" s="24">
        <v>0</v>
      </c>
      <c r="E20" s="24">
        <v>2</v>
      </c>
      <c r="F20" s="24">
        <v>0</v>
      </c>
      <c r="G20" s="24">
        <v>0</v>
      </c>
      <c r="H20" s="24">
        <v>0</v>
      </c>
      <c r="I20" s="24">
        <v>0</v>
      </c>
      <c r="J20" s="25">
        <v>0</v>
      </c>
      <c r="K20" s="25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 t="s">
        <v>14</v>
      </c>
    </row>
    <row r="21" spans="1:17" x14ac:dyDescent="0.3">
      <c r="A21" s="78" t="s">
        <v>100</v>
      </c>
      <c r="B21" s="24">
        <v>66</v>
      </c>
      <c r="C21" s="24" t="s">
        <v>52</v>
      </c>
      <c r="D21" s="24">
        <v>15</v>
      </c>
      <c r="E21" s="24">
        <v>0</v>
      </c>
      <c r="F21" s="24">
        <v>0</v>
      </c>
      <c r="G21" s="24">
        <v>1</v>
      </c>
      <c r="H21" s="24">
        <v>0</v>
      </c>
      <c r="I21" s="24">
        <v>0</v>
      </c>
      <c r="J21" s="25">
        <v>1</v>
      </c>
      <c r="K21" s="54">
        <v>0</v>
      </c>
      <c r="L21" s="24">
        <v>2</v>
      </c>
      <c r="M21" s="24">
        <v>0</v>
      </c>
      <c r="N21" s="24">
        <v>0</v>
      </c>
      <c r="O21" s="24">
        <v>0</v>
      </c>
      <c r="P21" s="24">
        <v>0</v>
      </c>
      <c r="Q21" s="24" t="s">
        <v>14</v>
      </c>
    </row>
    <row r="22" spans="1:17" x14ac:dyDescent="0.3">
      <c r="A22" s="78" t="s">
        <v>100</v>
      </c>
      <c r="B22" s="24">
        <v>83</v>
      </c>
      <c r="C22" s="24" t="s">
        <v>26</v>
      </c>
      <c r="D22" s="24">
        <v>6</v>
      </c>
      <c r="E22" s="24">
        <v>1</v>
      </c>
      <c r="F22" s="24">
        <v>0</v>
      </c>
      <c r="G22" s="24">
        <v>0</v>
      </c>
      <c r="H22" s="24">
        <v>0</v>
      </c>
      <c r="I22" s="24">
        <v>0</v>
      </c>
      <c r="J22" s="25">
        <v>3</v>
      </c>
      <c r="K22" s="25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 t="s">
        <v>14</v>
      </c>
    </row>
    <row r="23" spans="1:17" x14ac:dyDescent="0.3">
      <c r="A23" s="78" t="s">
        <v>99</v>
      </c>
      <c r="B23" s="24">
        <v>70</v>
      </c>
      <c r="C23" s="24" t="s">
        <v>27</v>
      </c>
      <c r="D23" s="24">
        <v>1</v>
      </c>
      <c r="E23" s="24">
        <v>0</v>
      </c>
      <c r="F23" s="24">
        <v>0</v>
      </c>
      <c r="G23" s="24">
        <v>1</v>
      </c>
      <c r="H23" s="24">
        <v>2</v>
      </c>
      <c r="I23" s="24">
        <v>0</v>
      </c>
      <c r="J23" s="25">
        <v>0</v>
      </c>
      <c r="K23" s="54">
        <v>18</v>
      </c>
      <c r="L23" s="24">
        <v>0</v>
      </c>
      <c r="M23" s="24">
        <v>0</v>
      </c>
      <c r="N23" s="24">
        <v>1</v>
      </c>
      <c r="O23" s="24">
        <v>0</v>
      </c>
      <c r="P23" s="24">
        <v>0</v>
      </c>
      <c r="Q23" s="24" t="s">
        <v>14</v>
      </c>
    </row>
    <row r="24" spans="1:17" x14ac:dyDescent="0.3">
      <c r="A24" s="78" t="s">
        <v>99</v>
      </c>
      <c r="B24" s="24">
        <v>71</v>
      </c>
      <c r="C24" s="24" t="s">
        <v>28</v>
      </c>
      <c r="D24" s="24">
        <v>63</v>
      </c>
      <c r="E24" s="24">
        <v>38</v>
      </c>
      <c r="F24" s="24">
        <v>53</v>
      </c>
      <c r="G24" s="24">
        <v>0</v>
      </c>
      <c r="H24" s="24">
        <v>0</v>
      </c>
      <c r="I24" s="24">
        <v>0</v>
      </c>
      <c r="J24" s="25">
        <v>1</v>
      </c>
      <c r="K24" s="25">
        <v>5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32" t="s">
        <v>15</v>
      </c>
    </row>
    <row r="25" spans="1:17" x14ac:dyDescent="0.3">
      <c r="A25" s="78" t="s">
        <v>99</v>
      </c>
      <c r="B25" s="24">
        <v>79</v>
      </c>
      <c r="C25" s="24" t="s">
        <v>29</v>
      </c>
      <c r="D25" s="24">
        <v>0</v>
      </c>
      <c r="E25" s="24">
        <v>1</v>
      </c>
      <c r="F25" s="24">
        <v>0</v>
      </c>
      <c r="G25" s="24">
        <v>0</v>
      </c>
      <c r="H25" s="24">
        <v>0</v>
      </c>
      <c r="I25" s="24">
        <v>0</v>
      </c>
      <c r="J25" s="25">
        <v>0</v>
      </c>
      <c r="K25" s="25">
        <v>8</v>
      </c>
      <c r="L25" s="24">
        <v>0</v>
      </c>
      <c r="M25" s="24">
        <v>1</v>
      </c>
      <c r="N25" s="24">
        <v>0</v>
      </c>
      <c r="O25" s="24">
        <v>0</v>
      </c>
      <c r="P25" s="24">
        <v>0</v>
      </c>
      <c r="Q25" s="24" t="s">
        <v>14</v>
      </c>
    </row>
    <row r="26" spans="1:17" x14ac:dyDescent="0.3">
      <c r="A26" s="78" t="s">
        <v>99</v>
      </c>
      <c r="B26" s="24">
        <v>80</v>
      </c>
      <c r="C26" s="24" t="s">
        <v>30</v>
      </c>
      <c r="D26" s="24">
        <v>0</v>
      </c>
      <c r="E26" s="24">
        <v>2</v>
      </c>
      <c r="F26" s="24">
        <v>0</v>
      </c>
      <c r="G26" s="24">
        <v>2</v>
      </c>
      <c r="H26" s="24">
        <v>0</v>
      </c>
      <c r="I26" s="24">
        <v>0</v>
      </c>
      <c r="J26" s="25">
        <v>0</v>
      </c>
      <c r="K26" s="54">
        <v>30</v>
      </c>
      <c r="L26" s="24">
        <v>0</v>
      </c>
      <c r="M26" s="24">
        <v>5</v>
      </c>
      <c r="N26" s="24">
        <v>1</v>
      </c>
      <c r="O26" s="24">
        <v>0</v>
      </c>
      <c r="P26" s="24">
        <v>0</v>
      </c>
      <c r="Q26" s="24" t="s">
        <v>14</v>
      </c>
    </row>
    <row r="27" spans="1:17" x14ac:dyDescent="0.3">
      <c r="A27" s="78" t="s">
        <v>99</v>
      </c>
      <c r="B27" s="24">
        <v>81</v>
      </c>
      <c r="C27" s="24" t="s">
        <v>31</v>
      </c>
      <c r="D27" s="24">
        <v>1</v>
      </c>
      <c r="E27" s="24">
        <v>0</v>
      </c>
      <c r="F27" s="24">
        <v>0</v>
      </c>
      <c r="G27" s="24">
        <v>2</v>
      </c>
      <c r="H27" s="24">
        <v>0</v>
      </c>
      <c r="I27" s="24">
        <v>0</v>
      </c>
      <c r="J27" s="25">
        <v>0</v>
      </c>
      <c r="K27" s="54">
        <v>26</v>
      </c>
      <c r="L27" s="24">
        <v>0</v>
      </c>
      <c r="M27" s="24">
        <v>0</v>
      </c>
      <c r="N27" s="24">
        <v>0</v>
      </c>
      <c r="O27" s="24">
        <v>0</v>
      </c>
      <c r="P27" s="24">
        <v>1</v>
      </c>
      <c r="Q27" s="26" t="s">
        <v>14</v>
      </c>
    </row>
    <row r="28" spans="1:17" x14ac:dyDescent="0.3">
      <c r="A28" s="78" t="s">
        <v>99</v>
      </c>
      <c r="B28" s="24">
        <v>82</v>
      </c>
      <c r="C28" s="24" t="s">
        <v>32</v>
      </c>
      <c r="D28" s="24">
        <v>2</v>
      </c>
      <c r="E28" s="24">
        <v>0</v>
      </c>
      <c r="F28" s="24">
        <v>1</v>
      </c>
      <c r="G28" s="24">
        <v>0</v>
      </c>
      <c r="H28" s="24">
        <v>0</v>
      </c>
      <c r="I28" s="24">
        <v>1</v>
      </c>
      <c r="J28" s="25">
        <v>0</v>
      </c>
      <c r="K28" s="54">
        <v>7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 t="s">
        <v>14</v>
      </c>
    </row>
    <row r="29" spans="1:17" x14ac:dyDescent="0.3">
      <c r="B29" s="33" t="s">
        <v>9</v>
      </c>
      <c r="C29" s="33" t="s">
        <v>9</v>
      </c>
      <c r="D29" s="33">
        <f t="shared" ref="D29:P29" si="0">SUM(D4:D28)</f>
        <v>2020</v>
      </c>
      <c r="E29" s="33">
        <f t="shared" si="0"/>
        <v>181</v>
      </c>
      <c r="F29" s="33">
        <f t="shared" si="0"/>
        <v>211</v>
      </c>
      <c r="G29" s="33">
        <f t="shared" si="0"/>
        <v>17</v>
      </c>
      <c r="H29" s="33">
        <f t="shared" si="0"/>
        <v>7</v>
      </c>
      <c r="I29" s="33">
        <f t="shared" si="0"/>
        <v>14</v>
      </c>
      <c r="J29" s="34">
        <f t="shared" si="0"/>
        <v>9</v>
      </c>
      <c r="K29" s="34">
        <f t="shared" si="0"/>
        <v>122</v>
      </c>
      <c r="L29" s="33">
        <f t="shared" si="0"/>
        <v>5</v>
      </c>
      <c r="M29" s="33">
        <f t="shared" si="0"/>
        <v>6</v>
      </c>
      <c r="N29" s="33">
        <f t="shared" si="0"/>
        <v>4</v>
      </c>
      <c r="O29" s="33">
        <f t="shared" si="0"/>
        <v>1</v>
      </c>
      <c r="P29" s="33">
        <f t="shared" si="0"/>
        <v>1</v>
      </c>
      <c r="Q29" s="36"/>
    </row>
    <row r="30" spans="1:17" s="19" customFormat="1" x14ac:dyDescent="0.3">
      <c r="B30" s="37" t="s">
        <v>20</v>
      </c>
      <c r="C30" s="38" t="s">
        <v>76</v>
      </c>
      <c r="D30" s="98">
        <f t="shared" ref="D30:L30" si="1">AVERAGE(D4:D28)</f>
        <v>80.8</v>
      </c>
      <c r="E30" s="98">
        <f t="shared" si="1"/>
        <v>7.24</v>
      </c>
      <c r="F30" s="100">
        <f t="shared" si="1"/>
        <v>8.44</v>
      </c>
      <c r="G30" s="98">
        <f t="shared" si="1"/>
        <v>0.68</v>
      </c>
      <c r="H30" s="98">
        <f t="shared" si="1"/>
        <v>0.28000000000000003</v>
      </c>
      <c r="I30" s="98">
        <f t="shared" si="1"/>
        <v>0.56000000000000005</v>
      </c>
      <c r="J30" s="100">
        <f t="shared" si="1"/>
        <v>0.36</v>
      </c>
      <c r="K30" s="100">
        <f t="shared" si="1"/>
        <v>4.88</v>
      </c>
      <c r="L30" s="98">
        <f t="shared" si="1"/>
        <v>0.2</v>
      </c>
      <c r="M30" s="100">
        <v>0</v>
      </c>
      <c r="N30" s="100">
        <v>0</v>
      </c>
      <c r="O30" s="100">
        <v>0</v>
      </c>
      <c r="P30" s="100">
        <v>0</v>
      </c>
      <c r="Q30" s="41"/>
    </row>
    <row r="31" spans="1:17" s="17" customFormat="1" ht="30.45" customHeight="1" x14ac:dyDescent="0.3">
      <c r="B31" s="42"/>
      <c r="C31" s="43" t="s">
        <v>73</v>
      </c>
      <c r="D31" s="44">
        <v>112</v>
      </c>
      <c r="E31" s="38">
        <v>14</v>
      </c>
      <c r="F31" s="39">
        <v>19</v>
      </c>
      <c r="G31" s="45">
        <v>2</v>
      </c>
      <c r="H31" s="46">
        <v>2.1</v>
      </c>
      <c r="I31" s="46">
        <v>2</v>
      </c>
      <c r="J31" s="47">
        <v>1</v>
      </c>
      <c r="K31" s="39">
        <v>10</v>
      </c>
      <c r="L31" s="38">
        <v>1</v>
      </c>
      <c r="M31" s="39">
        <v>1</v>
      </c>
      <c r="N31" s="39">
        <v>1</v>
      </c>
      <c r="O31" s="39">
        <v>1</v>
      </c>
      <c r="P31" s="39">
        <v>1</v>
      </c>
      <c r="Q31" s="48"/>
    </row>
    <row r="32" spans="1:17" ht="27" customHeight="1" x14ac:dyDescent="0.3">
      <c r="B32" s="3"/>
      <c r="G32" s="5"/>
      <c r="H32" s="5"/>
      <c r="I32" s="5"/>
      <c r="J32" s="5"/>
      <c r="K32" s="18"/>
    </row>
    <row r="33" spans="2:11" x14ac:dyDescent="0.3">
      <c r="B33" s="6"/>
      <c r="C33" s="49"/>
      <c r="G33" s="3"/>
      <c r="H33" s="3"/>
      <c r="I33" s="3"/>
      <c r="J33" s="3"/>
      <c r="K33" s="18"/>
    </row>
    <row r="34" spans="2:11" x14ac:dyDescent="0.3">
      <c r="B34" s="7"/>
      <c r="C34" s="49"/>
      <c r="G34" s="3"/>
      <c r="H34" s="3"/>
      <c r="I34" s="3"/>
      <c r="J34" s="3"/>
      <c r="K34" s="18"/>
    </row>
    <row r="35" spans="2:11" x14ac:dyDescent="0.3">
      <c r="B35" s="8"/>
      <c r="C35" s="49"/>
      <c r="G35" s="3"/>
      <c r="H35" s="3"/>
      <c r="I35" s="3"/>
      <c r="J35" s="3"/>
      <c r="K35" s="18"/>
    </row>
    <row r="36" spans="2:11" x14ac:dyDescent="0.3">
      <c r="B36" s="9"/>
      <c r="C36" s="49"/>
      <c r="G36" s="3"/>
      <c r="H36" s="3"/>
      <c r="I36" s="3"/>
      <c r="J36" s="3"/>
      <c r="K36" s="18"/>
    </row>
    <row r="37" spans="2:11" x14ac:dyDescent="0.3">
      <c r="B37" s="3"/>
      <c r="G37" s="3"/>
      <c r="H37" s="3"/>
      <c r="I37" s="3"/>
      <c r="J37" s="3"/>
      <c r="K37" s="18"/>
    </row>
    <row r="38" spans="2:11" x14ac:dyDescent="0.3">
      <c r="K38" s="18"/>
    </row>
    <row r="39" spans="2:11" x14ac:dyDescent="0.3">
      <c r="K39" s="18"/>
    </row>
    <row r="40" spans="2:11" x14ac:dyDescent="0.3">
      <c r="K40" s="18"/>
    </row>
    <row r="41" spans="2:11" x14ac:dyDescent="0.3">
      <c r="K41" s="18"/>
    </row>
    <row r="42" spans="2:11" x14ac:dyDescent="0.3">
      <c r="K42" s="18"/>
    </row>
    <row r="43" spans="2:11" x14ac:dyDescent="0.3">
      <c r="K43" s="18"/>
    </row>
    <row r="44" spans="2:11" x14ac:dyDescent="0.3">
      <c r="K44" s="18"/>
    </row>
    <row r="45" spans="2:11" x14ac:dyDescent="0.3">
      <c r="K45" s="18"/>
    </row>
    <row r="46" spans="2:11" x14ac:dyDescent="0.3">
      <c r="K46" s="18"/>
    </row>
    <row r="47" spans="2:11" x14ac:dyDescent="0.3">
      <c r="K47" s="18"/>
    </row>
    <row r="48" spans="2:11" x14ac:dyDescent="0.3">
      <c r="K48" s="18"/>
    </row>
    <row r="49" spans="11:11" x14ac:dyDescent="0.3">
      <c r="K49" s="18"/>
    </row>
    <row r="50" spans="11:11" x14ac:dyDescent="0.3">
      <c r="K50" s="18"/>
    </row>
    <row r="51" spans="11:11" x14ac:dyDescent="0.3">
      <c r="K51" s="18"/>
    </row>
  </sheetData>
  <phoneticPr fontId="0" type="noConversion"/>
  <pageMargins left="0.99803149599999996" right="0.39370078740157499" top="0.98425196850393704" bottom="0.98425196850393704" header="0.511811023622047" footer="0.511811023622047"/>
  <pageSetup orientation="portrait" horizontalDpi="300" verticalDpi="300" r:id="rId1"/>
  <headerFooter alignWithMargins="0">
    <oddHeader>&amp;LTable 1.  Summary of defoliators in 25 Permanent Sample Plots in the West Nelson Forest Region, 2002.</oddHeader>
    <oddFooter>&amp;L&amp;"Franklin Gothic Book,Regular"&amp;8JCH Forest Pest Management&amp;R&amp;"Franklin Gothic Book,Regular"&amp;8&amp;D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5" tint="0.59999389629810485"/>
  </sheetPr>
  <dimension ref="A1:X845"/>
  <sheetViews>
    <sheetView zoomScale="75" workbookViewId="0">
      <selection activeCell="D4" sqref="D4:D28"/>
    </sheetView>
  </sheetViews>
  <sheetFormatPr defaultColWidth="8.765625" defaultRowHeight="12.45" x14ac:dyDescent="0.3"/>
  <cols>
    <col min="2" max="2" width="4.69140625" style="1" customWidth="1"/>
    <col min="3" max="3" width="15.3046875" style="3" customWidth="1"/>
    <col min="4" max="4" width="5.3046875" customWidth="1"/>
    <col min="5" max="5" width="3.4609375" customWidth="1"/>
    <col min="6" max="6" width="5" customWidth="1"/>
    <col min="7" max="7" width="4.07421875" style="1" customWidth="1"/>
    <col min="8" max="9" width="3.4609375" customWidth="1"/>
    <col min="10" max="10" width="2.69140625" customWidth="1"/>
    <col min="11" max="11" width="4" style="18" customWidth="1"/>
    <col min="12" max="12" width="3.69140625" style="16" customWidth="1"/>
    <col min="13" max="13" width="3.765625" style="16" customWidth="1"/>
    <col min="14" max="14" width="3.4609375" customWidth="1"/>
    <col min="15" max="16" width="3.69140625" customWidth="1"/>
    <col min="17" max="18" width="4.3046875" customWidth="1"/>
    <col min="19" max="19" width="4.69140625" customWidth="1"/>
    <col min="20" max="20" width="4.3046875" customWidth="1"/>
    <col min="21" max="21" width="3.69140625" customWidth="1"/>
    <col min="22" max="22" width="3.3046875" customWidth="1"/>
  </cols>
  <sheetData>
    <row r="1" spans="1:24" ht="20.149999999999999" x14ac:dyDescent="0.4">
      <c r="B1" s="117" t="s">
        <v>78</v>
      </c>
    </row>
    <row r="2" spans="1:24" s="3" customFormat="1" ht="28.2" customHeight="1" x14ac:dyDescent="0.4">
      <c r="D2" s="12"/>
      <c r="E2" s="13"/>
      <c r="F2" s="14"/>
      <c r="G2" s="11"/>
      <c r="H2" s="13"/>
      <c r="I2" s="13"/>
      <c r="J2" s="13"/>
      <c r="K2" s="10"/>
      <c r="L2" s="15"/>
      <c r="M2" s="15"/>
      <c r="N2" s="13"/>
      <c r="O2" s="13"/>
      <c r="P2" s="13"/>
      <c r="Q2" s="13"/>
      <c r="R2" s="13"/>
      <c r="S2" s="13"/>
      <c r="T2" s="13"/>
      <c r="U2" s="14"/>
    </row>
    <row r="3" spans="1:24" s="2" customFormat="1" ht="172.2" customHeight="1" x14ac:dyDescent="0.3">
      <c r="A3" s="2" t="s">
        <v>98</v>
      </c>
      <c r="B3" s="20" t="s">
        <v>0</v>
      </c>
      <c r="C3" s="20" t="s">
        <v>25</v>
      </c>
      <c r="D3" s="21" t="s">
        <v>5</v>
      </c>
      <c r="E3" s="21" t="s">
        <v>6</v>
      </c>
      <c r="F3" s="21" t="s">
        <v>1</v>
      </c>
      <c r="G3" s="21" t="s">
        <v>7</v>
      </c>
      <c r="H3" s="21" t="s">
        <v>4</v>
      </c>
      <c r="I3" s="21" t="s">
        <v>3</v>
      </c>
      <c r="J3" s="22" t="s">
        <v>2</v>
      </c>
      <c r="K3" s="21" t="s">
        <v>17</v>
      </c>
      <c r="L3" s="23" t="s">
        <v>19</v>
      </c>
      <c r="M3" s="21" t="s">
        <v>18</v>
      </c>
      <c r="N3" s="21" t="s">
        <v>12</v>
      </c>
      <c r="O3" s="21" t="s">
        <v>10</v>
      </c>
      <c r="P3" s="21" t="s">
        <v>22</v>
      </c>
      <c r="Q3" s="21" t="s">
        <v>11</v>
      </c>
      <c r="R3" s="21" t="s">
        <v>8</v>
      </c>
      <c r="S3" s="21" t="s">
        <v>23</v>
      </c>
      <c r="T3" s="21" t="s">
        <v>24</v>
      </c>
      <c r="U3" s="21" t="s">
        <v>21</v>
      </c>
      <c r="V3" s="21" t="s">
        <v>13</v>
      </c>
    </row>
    <row r="4" spans="1:24" x14ac:dyDescent="0.3">
      <c r="A4" s="78" t="s">
        <v>100</v>
      </c>
      <c r="B4" s="24">
        <v>69</v>
      </c>
      <c r="C4" s="24" t="s">
        <v>33</v>
      </c>
      <c r="D4" s="24">
        <v>0</v>
      </c>
      <c r="E4" s="24">
        <v>1</v>
      </c>
      <c r="F4" s="24">
        <v>50</v>
      </c>
      <c r="G4" s="24">
        <v>0</v>
      </c>
      <c r="H4" s="24">
        <v>0</v>
      </c>
      <c r="I4" s="24">
        <v>0</v>
      </c>
      <c r="J4" s="25">
        <v>0</v>
      </c>
      <c r="K4" s="26">
        <v>1</v>
      </c>
      <c r="L4" s="27">
        <v>0</v>
      </c>
      <c r="M4" s="24">
        <v>0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  <c r="V4" s="24" t="s">
        <v>14</v>
      </c>
    </row>
    <row r="5" spans="1:24" x14ac:dyDescent="0.3">
      <c r="A5" s="78" t="s">
        <v>100</v>
      </c>
      <c r="B5" s="24">
        <v>72</v>
      </c>
      <c r="C5" s="24" t="s">
        <v>34</v>
      </c>
      <c r="D5" s="24">
        <v>4</v>
      </c>
      <c r="E5" s="24">
        <v>0</v>
      </c>
      <c r="F5" s="24">
        <v>63</v>
      </c>
      <c r="G5" s="24">
        <v>0</v>
      </c>
      <c r="H5" s="24">
        <v>0</v>
      </c>
      <c r="I5" s="24">
        <v>0</v>
      </c>
      <c r="J5" s="25">
        <v>0</v>
      </c>
      <c r="K5" s="26">
        <v>0</v>
      </c>
      <c r="L5" s="27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 t="s">
        <v>14</v>
      </c>
    </row>
    <row r="6" spans="1:24" x14ac:dyDescent="0.3">
      <c r="A6" s="78" t="s">
        <v>100</v>
      </c>
      <c r="B6" s="24">
        <v>86</v>
      </c>
      <c r="C6" s="24" t="s">
        <v>35</v>
      </c>
      <c r="D6" s="24">
        <v>17</v>
      </c>
      <c r="E6" s="24">
        <v>8</v>
      </c>
      <c r="F6" s="24">
        <v>129</v>
      </c>
      <c r="G6" s="24">
        <v>0</v>
      </c>
      <c r="H6" s="24">
        <v>0</v>
      </c>
      <c r="I6" s="24">
        <v>0</v>
      </c>
      <c r="J6" s="25">
        <v>1</v>
      </c>
      <c r="K6" s="26">
        <v>0</v>
      </c>
      <c r="L6" s="27">
        <v>0</v>
      </c>
      <c r="M6" s="24">
        <v>1</v>
      </c>
      <c r="N6" s="24">
        <v>0</v>
      </c>
      <c r="O6" s="24">
        <v>1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8" t="s">
        <v>15</v>
      </c>
    </row>
    <row r="7" spans="1:24" x14ac:dyDescent="0.3">
      <c r="A7" s="78" t="s">
        <v>100</v>
      </c>
      <c r="B7" s="24">
        <v>87</v>
      </c>
      <c r="C7" s="24" t="s">
        <v>36</v>
      </c>
      <c r="D7" s="24">
        <v>0</v>
      </c>
      <c r="E7" s="24">
        <v>2</v>
      </c>
      <c r="F7" s="24">
        <v>76</v>
      </c>
      <c r="G7" s="24">
        <v>0</v>
      </c>
      <c r="H7" s="24">
        <v>0</v>
      </c>
      <c r="I7" s="24">
        <v>1</v>
      </c>
      <c r="J7" s="25">
        <v>0</v>
      </c>
      <c r="K7" s="24">
        <v>0</v>
      </c>
      <c r="L7" s="27">
        <v>0</v>
      </c>
      <c r="M7" s="24">
        <v>0</v>
      </c>
      <c r="N7" s="24">
        <v>1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 t="s">
        <v>14</v>
      </c>
    </row>
    <row r="8" spans="1:24" x14ac:dyDescent="0.3">
      <c r="A8" s="78" t="s">
        <v>100</v>
      </c>
      <c r="B8" s="24">
        <v>73</v>
      </c>
      <c r="C8" s="24" t="s">
        <v>50</v>
      </c>
      <c r="D8" s="24">
        <v>10</v>
      </c>
      <c r="E8" s="24">
        <v>0</v>
      </c>
      <c r="F8" s="24">
        <v>0</v>
      </c>
      <c r="G8" s="24">
        <v>0</v>
      </c>
      <c r="H8" s="24">
        <v>2</v>
      </c>
      <c r="I8" s="24">
        <v>0</v>
      </c>
      <c r="J8" s="25">
        <v>0</v>
      </c>
      <c r="K8" s="24">
        <v>0</v>
      </c>
      <c r="L8" s="27">
        <v>0</v>
      </c>
      <c r="M8" s="26">
        <v>1</v>
      </c>
      <c r="N8" s="24">
        <v>1</v>
      </c>
      <c r="O8" s="24">
        <v>1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 t="s">
        <v>14</v>
      </c>
    </row>
    <row r="9" spans="1:24" x14ac:dyDescent="0.3">
      <c r="A9" s="78" t="s">
        <v>100</v>
      </c>
      <c r="B9" s="24">
        <v>74</v>
      </c>
      <c r="C9" s="24" t="s">
        <v>37</v>
      </c>
      <c r="D9" s="24">
        <v>68</v>
      </c>
      <c r="E9" s="24">
        <v>0</v>
      </c>
      <c r="F9" s="24">
        <v>138</v>
      </c>
      <c r="G9" s="24">
        <v>0</v>
      </c>
      <c r="H9" s="24">
        <v>0</v>
      </c>
      <c r="I9" s="24">
        <v>0</v>
      </c>
      <c r="J9" s="25">
        <v>0</v>
      </c>
      <c r="K9" s="24">
        <v>0</v>
      </c>
      <c r="L9" s="27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9" t="s">
        <v>15</v>
      </c>
      <c r="X9" s="4"/>
    </row>
    <row r="10" spans="1:24" x14ac:dyDescent="0.3">
      <c r="A10" s="78" t="s">
        <v>100</v>
      </c>
      <c r="B10" s="24">
        <v>75</v>
      </c>
      <c r="C10" s="24" t="s">
        <v>38</v>
      </c>
      <c r="D10" s="24">
        <v>37</v>
      </c>
      <c r="E10" s="24">
        <v>1</v>
      </c>
      <c r="F10" s="24">
        <v>102</v>
      </c>
      <c r="G10" s="24">
        <v>0</v>
      </c>
      <c r="H10" s="24">
        <v>0</v>
      </c>
      <c r="I10" s="24">
        <v>0</v>
      </c>
      <c r="J10" s="25">
        <v>0</v>
      </c>
      <c r="K10" s="24">
        <v>0</v>
      </c>
      <c r="L10" s="27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9" t="s">
        <v>15</v>
      </c>
    </row>
    <row r="11" spans="1:24" x14ac:dyDescent="0.3">
      <c r="A11" s="78" t="s">
        <v>100</v>
      </c>
      <c r="B11" s="24">
        <v>76</v>
      </c>
      <c r="C11" s="24" t="s">
        <v>39</v>
      </c>
      <c r="D11" s="24">
        <v>142</v>
      </c>
      <c r="E11" s="24">
        <v>0</v>
      </c>
      <c r="F11" s="24">
        <v>13</v>
      </c>
      <c r="G11" s="24">
        <v>0</v>
      </c>
      <c r="H11" s="24">
        <v>0</v>
      </c>
      <c r="I11" s="24">
        <v>0</v>
      </c>
      <c r="J11" s="25">
        <v>0</v>
      </c>
      <c r="K11" s="24">
        <v>0</v>
      </c>
      <c r="L11" s="30">
        <v>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31" t="s">
        <v>15</v>
      </c>
    </row>
    <row r="12" spans="1:24" x14ac:dyDescent="0.3">
      <c r="A12" s="78" t="s">
        <v>100</v>
      </c>
      <c r="B12" s="24">
        <v>78</v>
      </c>
      <c r="C12" s="24" t="s">
        <v>40</v>
      </c>
      <c r="D12" s="24">
        <v>2</v>
      </c>
      <c r="E12" s="24">
        <v>0</v>
      </c>
      <c r="F12" s="24">
        <v>0</v>
      </c>
      <c r="G12" s="24">
        <v>0</v>
      </c>
      <c r="H12" s="24">
        <v>2</v>
      </c>
      <c r="I12" s="24">
        <v>0</v>
      </c>
      <c r="J12" s="25">
        <v>0</v>
      </c>
      <c r="K12" s="24">
        <v>0</v>
      </c>
      <c r="L12" s="27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 t="s">
        <v>14</v>
      </c>
    </row>
    <row r="13" spans="1:24" x14ac:dyDescent="0.3">
      <c r="A13" s="78" t="s">
        <v>100</v>
      </c>
      <c r="B13" s="24">
        <v>84</v>
      </c>
      <c r="C13" s="24" t="s">
        <v>41</v>
      </c>
      <c r="D13" s="24">
        <v>204</v>
      </c>
      <c r="E13" s="24">
        <v>0</v>
      </c>
      <c r="F13" s="24">
        <v>35</v>
      </c>
      <c r="G13" s="24">
        <v>0</v>
      </c>
      <c r="H13" s="24">
        <v>0</v>
      </c>
      <c r="I13" s="24">
        <v>0</v>
      </c>
      <c r="J13" s="25">
        <v>1</v>
      </c>
      <c r="K13" s="24">
        <v>0</v>
      </c>
      <c r="L13" s="27">
        <v>0</v>
      </c>
      <c r="M13" s="26">
        <v>1</v>
      </c>
      <c r="N13" s="24">
        <v>0</v>
      </c>
      <c r="O13" s="24">
        <v>0</v>
      </c>
      <c r="P13" s="24">
        <v>0</v>
      </c>
      <c r="Q13" s="24">
        <v>1</v>
      </c>
      <c r="R13" s="24">
        <v>0</v>
      </c>
      <c r="S13" s="24">
        <v>0</v>
      </c>
      <c r="T13" s="24">
        <v>0</v>
      </c>
      <c r="U13" s="24">
        <v>3</v>
      </c>
      <c r="V13" s="31" t="s">
        <v>15</v>
      </c>
    </row>
    <row r="14" spans="1:24" x14ac:dyDescent="0.3">
      <c r="A14" s="78" t="s">
        <v>100</v>
      </c>
      <c r="B14" s="24">
        <v>85</v>
      </c>
      <c r="C14" s="24" t="s">
        <v>48</v>
      </c>
      <c r="D14" s="24">
        <v>9</v>
      </c>
      <c r="E14" s="24">
        <v>3</v>
      </c>
      <c r="F14" s="24">
        <v>12</v>
      </c>
      <c r="G14" s="24">
        <v>0</v>
      </c>
      <c r="H14" s="24">
        <v>0</v>
      </c>
      <c r="I14" s="24">
        <v>0</v>
      </c>
      <c r="J14" s="25">
        <v>0</v>
      </c>
      <c r="K14" s="24">
        <v>0</v>
      </c>
      <c r="L14" s="27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 t="s">
        <v>14</v>
      </c>
    </row>
    <row r="15" spans="1:24" x14ac:dyDescent="0.3">
      <c r="A15" s="78" t="s">
        <v>99</v>
      </c>
      <c r="B15" s="24">
        <v>30</v>
      </c>
      <c r="C15" s="24" t="s">
        <v>42</v>
      </c>
      <c r="D15" s="24">
        <v>43</v>
      </c>
      <c r="E15" s="24">
        <v>24</v>
      </c>
      <c r="F15" s="24">
        <v>812</v>
      </c>
      <c r="G15" s="24">
        <v>0</v>
      </c>
      <c r="H15" s="24">
        <v>0</v>
      </c>
      <c r="I15" s="24">
        <v>0</v>
      </c>
      <c r="J15" s="25">
        <v>1</v>
      </c>
      <c r="K15" s="26">
        <v>1</v>
      </c>
      <c r="L15" s="27">
        <v>0</v>
      </c>
      <c r="M15" s="24">
        <v>0</v>
      </c>
      <c r="N15" s="24">
        <v>0</v>
      </c>
      <c r="O15" s="24">
        <v>2</v>
      </c>
      <c r="P15" s="24">
        <v>1</v>
      </c>
      <c r="Q15" s="24">
        <v>1</v>
      </c>
      <c r="R15" s="24">
        <v>0</v>
      </c>
      <c r="S15" s="24">
        <v>0</v>
      </c>
      <c r="T15" s="24">
        <v>0</v>
      </c>
      <c r="U15" s="24">
        <v>0</v>
      </c>
      <c r="V15" s="28" t="s">
        <v>16</v>
      </c>
    </row>
    <row r="16" spans="1:24" x14ac:dyDescent="0.3">
      <c r="A16" s="78" t="s">
        <v>99</v>
      </c>
      <c r="B16" s="24">
        <v>38</v>
      </c>
      <c r="C16" s="24" t="s">
        <v>43</v>
      </c>
      <c r="D16" s="24">
        <v>1</v>
      </c>
      <c r="E16" s="24">
        <v>0</v>
      </c>
      <c r="F16" s="24">
        <v>4</v>
      </c>
      <c r="G16" s="24">
        <v>0</v>
      </c>
      <c r="H16" s="24">
        <v>1</v>
      </c>
      <c r="I16" s="24">
        <v>41</v>
      </c>
      <c r="J16" s="25">
        <v>0</v>
      </c>
      <c r="K16" s="24">
        <v>0</v>
      </c>
      <c r="L16" s="27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 t="s">
        <v>14</v>
      </c>
    </row>
    <row r="17" spans="1:22" x14ac:dyDescent="0.3">
      <c r="A17" s="78" t="s">
        <v>99</v>
      </c>
      <c r="B17" s="24">
        <v>58</v>
      </c>
      <c r="C17" s="24" t="s">
        <v>44</v>
      </c>
      <c r="D17" s="24">
        <v>0</v>
      </c>
      <c r="E17" s="24">
        <v>0</v>
      </c>
      <c r="F17" s="24">
        <v>2</v>
      </c>
      <c r="G17" s="24">
        <v>1</v>
      </c>
      <c r="H17" s="24">
        <v>1</v>
      </c>
      <c r="I17" s="24">
        <v>4</v>
      </c>
      <c r="J17" s="25">
        <v>0</v>
      </c>
      <c r="K17" s="24">
        <v>0</v>
      </c>
      <c r="L17" s="27">
        <v>0</v>
      </c>
      <c r="M17" s="26">
        <v>15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 t="s">
        <v>14</v>
      </c>
    </row>
    <row r="18" spans="1:22" x14ac:dyDescent="0.3">
      <c r="A18" s="78" t="s">
        <v>99</v>
      </c>
      <c r="B18" s="24">
        <v>61</v>
      </c>
      <c r="C18" s="24" t="s">
        <v>45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5">
        <v>0</v>
      </c>
      <c r="K18" s="24">
        <v>0</v>
      </c>
      <c r="L18" s="27">
        <v>0</v>
      </c>
      <c r="M18" s="26">
        <v>16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 t="s">
        <v>14</v>
      </c>
    </row>
    <row r="19" spans="1:22" x14ac:dyDescent="0.3">
      <c r="A19" s="78" t="s">
        <v>99</v>
      </c>
      <c r="B19" s="24">
        <v>62</v>
      </c>
      <c r="C19" s="24" t="s">
        <v>46</v>
      </c>
      <c r="D19" s="24">
        <v>0</v>
      </c>
      <c r="E19" s="24">
        <v>2</v>
      </c>
      <c r="F19" s="24">
        <v>0</v>
      </c>
      <c r="G19" s="24">
        <v>14</v>
      </c>
      <c r="H19" s="24">
        <v>5</v>
      </c>
      <c r="I19" s="24">
        <v>0</v>
      </c>
      <c r="J19" s="25">
        <v>0</v>
      </c>
      <c r="K19" s="24">
        <v>0</v>
      </c>
      <c r="L19" s="27">
        <v>0</v>
      </c>
      <c r="M19" s="26">
        <v>12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 t="s">
        <v>14</v>
      </c>
    </row>
    <row r="20" spans="1:22" x14ac:dyDescent="0.3">
      <c r="A20" s="78" t="s">
        <v>99</v>
      </c>
      <c r="B20" s="24">
        <v>65</v>
      </c>
      <c r="C20" s="24" t="s">
        <v>47</v>
      </c>
      <c r="D20" s="24">
        <v>1</v>
      </c>
      <c r="E20" s="24">
        <v>0</v>
      </c>
      <c r="F20" s="24">
        <v>1</v>
      </c>
      <c r="G20" s="24">
        <v>0</v>
      </c>
      <c r="H20" s="24">
        <v>0</v>
      </c>
      <c r="I20" s="24">
        <v>0</v>
      </c>
      <c r="J20" s="25">
        <v>0</v>
      </c>
      <c r="K20" s="24">
        <v>0</v>
      </c>
      <c r="L20" s="27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1</v>
      </c>
      <c r="S20" s="24">
        <v>0</v>
      </c>
      <c r="T20" s="24">
        <v>0</v>
      </c>
      <c r="U20" s="24">
        <v>0</v>
      </c>
      <c r="V20" s="24" t="s">
        <v>14</v>
      </c>
    </row>
    <row r="21" spans="1:22" x14ac:dyDescent="0.3">
      <c r="A21" s="78" t="s">
        <v>100</v>
      </c>
      <c r="B21" s="24">
        <v>66</v>
      </c>
      <c r="C21" s="24" t="s">
        <v>52</v>
      </c>
      <c r="D21" s="24">
        <v>6</v>
      </c>
      <c r="E21" s="24">
        <v>0</v>
      </c>
      <c r="F21" s="24">
        <v>0</v>
      </c>
      <c r="G21" s="24">
        <v>0</v>
      </c>
      <c r="H21" s="24">
        <v>1</v>
      </c>
      <c r="I21" s="24">
        <v>0</v>
      </c>
      <c r="J21" s="25">
        <v>0</v>
      </c>
      <c r="K21" s="24">
        <v>0</v>
      </c>
      <c r="L21" s="30">
        <v>0</v>
      </c>
      <c r="M21" s="26">
        <v>2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2</v>
      </c>
      <c r="T21" s="24">
        <v>0</v>
      </c>
      <c r="U21" s="24">
        <v>0</v>
      </c>
      <c r="V21" s="24" t="s">
        <v>14</v>
      </c>
    </row>
    <row r="22" spans="1:22" x14ac:dyDescent="0.3">
      <c r="A22" s="78" t="s">
        <v>100</v>
      </c>
      <c r="B22" s="24">
        <v>83</v>
      </c>
      <c r="C22" s="24" t="s">
        <v>26</v>
      </c>
      <c r="D22" s="24">
        <v>5</v>
      </c>
      <c r="E22" s="24">
        <v>0</v>
      </c>
      <c r="F22" s="24">
        <v>2</v>
      </c>
      <c r="G22" s="24">
        <v>0</v>
      </c>
      <c r="H22" s="24">
        <v>0</v>
      </c>
      <c r="I22" s="24">
        <v>0</v>
      </c>
      <c r="J22" s="25">
        <v>0</v>
      </c>
      <c r="K22" s="24">
        <v>0</v>
      </c>
      <c r="L22" s="27">
        <v>0</v>
      </c>
      <c r="M22" s="24">
        <v>1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 t="s">
        <v>14</v>
      </c>
    </row>
    <row r="23" spans="1:22" x14ac:dyDescent="0.3">
      <c r="A23" s="78" t="s">
        <v>99</v>
      </c>
      <c r="B23" s="24">
        <v>70</v>
      </c>
      <c r="C23" s="24" t="s">
        <v>27</v>
      </c>
      <c r="D23" s="24">
        <v>10</v>
      </c>
      <c r="E23" s="24">
        <v>0</v>
      </c>
      <c r="F23" s="24">
        <v>0</v>
      </c>
      <c r="G23" s="24">
        <v>0</v>
      </c>
      <c r="H23" s="24">
        <v>5</v>
      </c>
      <c r="I23" s="24">
        <v>0</v>
      </c>
      <c r="J23" s="25">
        <v>0</v>
      </c>
      <c r="K23" s="24">
        <v>0</v>
      </c>
      <c r="L23" s="27">
        <v>0</v>
      </c>
      <c r="M23" s="26">
        <v>2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 t="s">
        <v>14</v>
      </c>
    </row>
    <row r="24" spans="1:22" x14ac:dyDescent="0.3">
      <c r="A24" s="78" t="s">
        <v>99</v>
      </c>
      <c r="B24" s="24">
        <v>71</v>
      </c>
      <c r="C24" s="24" t="s">
        <v>28</v>
      </c>
      <c r="D24" s="24">
        <v>8</v>
      </c>
      <c r="E24" s="24">
        <v>2</v>
      </c>
      <c r="F24" s="24">
        <v>86</v>
      </c>
      <c r="G24" s="24">
        <v>0</v>
      </c>
      <c r="H24" s="24">
        <v>0</v>
      </c>
      <c r="I24" s="24">
        <v>0</v>
      </c>
      <c r="J24" s="25">
        <v>1</v>
      </c>
      <c r="K24" s="24">
        <v>0</v>
      </c>
      <c r="L24" s="27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8" t="s">
        <v>15</v>
      </c>
    </row>
    <row r="25" spans="1:22" x14ac:dyDescent="0.3">
      <c r="A25" s="78" t="s">
        <v>99</v>
      </c>
      <c r="B25" s="24">
        <v>79</v>
      </c>
      <c r="C25" s="24" t="s">
        <v>29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5">
        <v>0</v>
      </c>
      <c r="K25" s="24">
        <v>0</v>
      </c>
      <c r="L25" s="27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22</v>
      </c>
      <c r="S25" s="24">
        <v>0</v>
      </c>
      <c r="T25" s="24">
        <v>4</v>
      </c>
      <c r="U25" s="24">
        <v>0</v>
      </c>
      <c r="V25" s="24" t="s">
        <v>14</v>
      </c>
    </row>
    <row r="26" spans="1:22" x14ac:dyDescent="0.3">
      <c r="A26" s="78" t="s">
        <v>99</v>
      </c>
      <c r="B26" s="24">
        <v>80</v>
      </c>
      <c r="C26" s="24" t="s">
        <v>30</v>
      </c>
      <c r="D26" s="24">
        <v>5</v>
      </c>
      <c r="E26" s="24">
        <v>1</v>
      </c>
      <c r="F26" s="24">
        <v>1</v>
      </c>
      <c r="G26" s="24">
        <v>1</v>
      </c>
      <c r="H26" s="24">
        <v>1</v>
      </c>
      <c r="I26" s="24">
        <v>0</v>
      </c>
      <c r="J26" s="25">
        <v>0</v>
      </c>
      <c r="K26" s="24">
        <v>0</v>
      </c>
      <c r="L26" s="27">
        <v>0</v>
      </c>
      <c r="M26" s="26">
        <v>29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1</v>
      </c>
      <c r="U26" s="24">
        <v>0</v>
      </c>
      <c r="V26" s="24" t="s">
        <v>14</v>
      </c>
    </row>
    <row r="27" spans="1:22" x14ac:dyDescent="0.3">
      <c r="A27" s="78" t="s">
        <v>99</v>
      </c>
      <c r="B27" s="24">
        <v>81</v>
      </c>
      <c r="C27" s="24" t="s">
        <v>31</v>
      </c>
      <c r="D27" s="24">
        <v>1</v>
      </c>
      <c r="E27" s="24">
        <v>3</v>
      </c>
      <c r="F27" s="24">
        <v>1</v>
      </c>
      <c r="G27" s="24">
        <v>0</v>
      </c>
      <c r="H27" s="24">
        <v>1</v>
      </c>
      <c r="I27" s="24">
        <v>0</v>
      </c>
      <c r="J27" s="25">
        <v>0</v>
      </c>
      <c r="K27" s="24">
        <v>0</v>
      </c>
      <c r="L27" s="27">
        <v>0</v>
      </c>
      <c r="M27" s="26">
        <v>13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32" t="s">
        <v>15</v>
      </c>
    </row>
    <row r="28" spans="1:22" x14ac:dyDescent="0.3">
      <c r="A28" s="78" t="s">
        <v>99</v>
      </c>
      <c r="B28" s="24">
        <v>82</v>
      </c>
      <c r="C28" s="24" t="s">
        <v>32</v>
      </c>
      <c r="D28" s="24">
        <v>7</v>
      </c>
      <c r="E28" s="24">
        <v>0</v>
      </c>
      <c r="F28" s="24">
        <v>0</v>
      </c>
      <c r="G28" s="24">
        <v>3</v>
      </c>
      <c r="H28" s="24">
        <v>0</v>
      </c>
      <c r="I28" s="24">
        <v>0</v>
      </c>
      <c r="J28" s="25">
        <v>0</v>
      </c>
      <c r="K28" s="24">
        <v>0</v>
      </c>
      <c r="L28" s="27">
        <v>0</v>
      </c>
      <c r="M28" s="26">
        <v>50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1</v>
      </c>
      <c r="U28" s="24">
        <v>0</v>
      </c>
      <c r="V28" s="24" t="s">
        <v>14</v>
      </c>
    </row>
    <row r="29" spans="1:22" x14ac:dyDescent="0.3">
      <c r="B29" s="33" t="s">
        <v>20</v>
      </c>
      <c r="C29" s="33" t="s">
        <v>9</v>
      </c>
      <c r="D29" s="33">
        <f t="shared" ref="D29:M29" si="0">SUM(D4:D28)</f>
        <v>580</v>
      </c>
      <c r="E29" s="33">
        <f t="shared" si="0"/>
        <v>47</v>
      </c>
      <c r="F29" s="33">
        <f t="shared" si="0"/>
        <v>1527</v>
      </c>
      <c r="G29" s="33">
        <f t="shared" si="0"/>
        <v>19</v>
      </c>
      <c r="H29" s="33">
        <f t="shared" si="0"/>
        <v>19</v>
      </c>
      <c r="I29" s="33">
        <f t="shared" si="0"/>
        <v>46</v>
      </c>
      <c r="J29" s="34">
        <f t="shared" si="0"/>
        <v>4</v>
      </c>
      <c r="K29" s="33">
        <f t="shared" si="0"/>
        <v>2</v>
      </c>
      <c r="L29" s="35">
        <f t="shared" si="0"/>
        <v>1</v>
      </c>
      <c r="M29" s="33">
        <f t="shared" si="0"/>
        <v>143</v>
      </c>
      <c r="N29" s="33">
        <f t="shared" ref="N29:U29" si="1">SUM(N4:N28)</f>
        <v>2</v>
      </c>
      <c r="O29" s="33">
        <f t="shared" si="1"/>
        <v>4</v>
      </c>
      <c r="P29" s="33">
        <f t="shared" si="1"/>
        <v>1</v>
      </c>
      <c r="Q29" s="33">
        <f t="shared" si="1"/>
        <v>2</v>
      </c>
      <c r="R29" s="33">
        <f t="shared" si="1"/>
        <v>23</v>
      </c>
      <c r="S29" s="33">
        <f t="shared" si="1"/>
        <v>2</v>
      </c>
      <c r="T29" s="33">
        <f t="shared" si="1"/>
        <v>6</v>
      </c>
      <c r="U29" s="33">
        <f t="shared" si="1"/>
        <v>3</v>
      </c>
      <c r="V29" s="36"/>
    </row>
    <row r="30" spans="1:22" s="19" customFormat="1" x14ac:dyDescent="0.3">
      <c r="B30" s="37" t="s">
        <v>20</v>
      </c>
      <c r="C30" s="38" t="s">
        <v>76</v>
      </c>
      <c r="D30" s="98">
        <f t="shared" ref="D30:M30" si="2">AVERAGE(D4:D28)</f>
        <v>23.2</v>
      </c>
      <c r="E30" s="98">
        <f t="shared" si="2"/>
        <v>1.88</v>
      </c>
      <c r="F30" s="100">
        <f t="shared" si="2"/>
        <v>61.08</v>
      </c>
      <c r="G30" s="98">
        <f t="shared" si="2"/>
        <v>0.76</v>
      </c>
      <c r="H30" s="98">
        <f t="shared" si="2"/>
        <v>0.76</v>
      </c>
      <c r="I30" s="98">
        <f t="shared" si="2"/>
        <v>1.84</v>
      </c>
      <c r="J30" s="100">
        <f t="shared" si="2"/>
        <v>0.16</v>
      </c>
      <c r="K30" s="98">
        <f t="shared" si="2"/>
        <v>0.08</v>
      </c>
      <c r="L30" s="110">
        <f t="shared" si="2"/>
        <v>0.04</v>
      </c>
      <c r="M30" s="98">
        <f t="shared" si="2"/>
        <v>5.72</v>
      </c>
      <c r="N30" s="98">
        <f t="shared" ref="N30:U30" si="3">AVERAGE(N4:N28)</f>
        <v>0.08</v>
      </c>
      <c r="O30" s="98">
        <f t="shared" si="3"/>
        <v>0.16</v>
      </c>
      <c r="P30" s="98">
        <f t="shared" si="3"/>
        <v>0.04</v>
      </c>
      <c r="Q30" s="98">
        <f t="shared" si="3"/>
        <v>0.08</v>
      </c>
      <c r="R30" s="98">
        <f t="shared" si="3"/>
        <v>0.92</v>
      </c>
      <c r="S30" s="100">
        <v>0</v>
      </c>
      <c r="T30" s="100">
        <v>0</v>
      </c>
      <c r="U30" s="100">
        <f t="shared" si="3"/>
        <v>0.12</v>
      </c>
      <c r="V30" s="41"/>
    </row>
    <row r="31" spans="1:22" s="17" customFormat="1" ht="30.45" customHeight="1" x14ac:dyDescent="0.3">
      <c r="B31" s="42"/>
      <c r="C31" s="43" t="s">
        <v>73</v>
      </c>
      <c r="D31" s="44">
        <v>32</v>
      </c>
      <c r="E31" s="38">
        <v>5</v>
      </c>
      <c r="F31" s="39">
        <v>89.8</v>
      </c>
      <c r="G31" s="45">
        <v>5</v>
      </c>
      <c r="H31" s="46">
        <v>2.1</v>
      </c>
      <c r="I31" s="46">
        <v>15</v>
      </c>
      <c r="J31" s="47">
        <v>1</v>
      </c>
      <c r="K31" s="38">
        <v>1</v>
      </c>
      <c r="L31" s="40">
        <v>1</v>
      </c>
      <c r="M31" s="38">
        <v>12</v>
      </c>
      <c r="N31" s="38">
        <v>1</v>
      </c>
      <c r="O31" s="38">
        <v>1.3</v>
      </c>
      <c r="P31" s="38">
        <v>1</v>
      </c>
      <c r="Q31" s="38">
        <v>1</v>
      </c>
      <c r="R31" s="38">
        <v>13</v>
      </c>
      <c r="S31" s="39">
        <v>2</v>
      </c>
      <c r="T31" s="39">
        <v>2</v>
      </c>
      <c r="U31" s="39">
        <v>1</v>
      </c>
      <c r="V31" s="48"/>
    </row>
    <row r="32" spans="1:22" ht="27" customHeight="1" x14ac:dyDescent="0.4">
      <c r="B32" s="3"/>
      <c r="C32" s="288" t="s">
        <v>77</v>
      </c>
      <c r="D32" s="288"/>
      <c r="E32" s="288"/>
      <c r="F32" s="288"/>
      <c r="G32" s="288"/>
      <c r="H32" s="5"/>
      <c r="I32" s="5"/>
      <c r="J32" s="5"/>
    </row>
    <row r="33" spans="2:10" x14ac:dyDescent="0.3">
      <c r="B33" s="6"/>
      <c r="C33" s="49"/>
      <c r="G33" s="3"/>
      <c r="H33" s="3"/>
      <c r="I33" s="3"/>
      <c r="J33" s="3"/>
    </row>
    <row r="34" spans="2:10" x14ac:dyDescent="0.3">
      <c r="B34" s="7"/>
      <c r="C34" s="49"/>
      <c r="G34" s="3"/>
      <c r="H34" s="3"/>
      <c r="I34" s="3"/>
      <c r="J34" s="3"/>
    </row>
    <row r="35" spans="2:10" x14ac:dyDescent="0.3">
      <c r="B35" s="8"/>
      <c r="C35" s="49"/>
      <c r="G35" s="3"/>
      <c r="H35" s="3"/>
      <c r="I35" s="3"/>
      <c r="J35" s="3"/>
    </row>
    <row r="36" spans="2:10" x14ac:dyDescent="0.3">
      <c r="B36" s="9"/>
      <c r="C36" s="49"/>
      <c r="G36" s="3"/>
      <c r="H36" s="3"/>
      <c r="I36" s="3"/>
      <c r="J36" s="3"/>
    </row>
    <row r="37" spans="2:10" x14ac:dyDescent="0.3">
      <c r="B37" s="3"/>
      <c r="G37" s="3"/>
      <c r="H37" s="3"/>
      <c r="I37" s="3"/>
      <c r="J37" s="3"/>
    </row>
    <row r="38" spans="2:10" x14ac:dyDescent="0.3">
      <c r="B38" s="3"/>
    </row>
    <row r="39" spans="2:10" x14ac:dyDescent="0.3">
      <c r="B39"/>
      <c r="C39"/>
    </row>
    <row r="40" spans="2:10" x14ac:dyDescent="0.3">
      <c r="B40"/>
      <c r="C40"/>
    </row>
    <row r="41" spans="2:10" x14ac:dyDescent="0.3">
      <c r="B41"/>
      <c r="C41"/>
    </row>
    <row r="42" spans="2:10" x14ac:dyDescent="0.3">
      <c r="B42"/>
      <c r="C42"/>
    </row>
    <row r="43" spans="2:10" x14ac:dyDescent="0.3">
      <c r="B43"/>
      <c r="C43"/>
    </row>
    <row r="44" spans="2:10" x14ac:dyDescent="0.3">
      <c r="B44"/>
      <c r="C44"/>
    </row>
    <row r="45" spans="2:10" x14ac:dyDescent="0.3">
      <c r="B45"/>
      <c r="C45"/>
    </row>
    <row r="46" spans="2:10" x14ac:dyDescent="0.3">
      <c r="B46"/>
      <c r="C46"/>
    </row>
    <row r="47" spans="2:10" x14ac:dyDescent="0.3">
      <c r="B47"/>
      <c r="C47"/>
    </row>
    <row r="48" spans="2:10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  <row r="69" spans="2:3" x14ac:dyDescent="0.3">
      <c r="B69"/>
      <c r="C69"/>
    </row>
    <row r="70" spans="2:3" x14ac:dyDescent="0.3">
      <c r="B70"/>
      <c r="C70"/>
    </row>
    <row r="71" spans="2:3" x14ac:dyDescent="0.3">
      <c r="B71"/>
      <c r="C71"/>
    </row>
    <row r="72" spans="2:3" x14ac:dyDescent="0.3">
      <c r="B72"/>
      <c r="C72"/>
    </row>
    <row r="73" spans="2:3" x14ac:dyDescent="0.3">
      <c r="B73"/>
      <c r="C73"/>
    </row>
    <row r="74" spans="2:3" x14ac:dyDescent="0.3">
      <c r="B74"/>
      <c r="C74"/>
    </row>
    <row r="75" spans="2:3" x14ac:dyDescent="0.3">
      <c r="B75"/>
      <c r="C75"/>
    </row>
    <row r="76" spans="2:3" x14ac:dyDescent="0.3">
      <c r="B76"/>
      <c r="C76"/>
    </row>
    <row r="77" spans="2:3" x14ac:dyDescent="0.3">
      <c r="B77"/>
      <c r="C77"/>
    </row>
    <row r="78" spans="2:3" x14ac:dyDescent="0.3">
      <c r="B78"/>
      <c r="C78"/>
    </row>
    <row r="79" spans="2:3" x14ac:dyDescent="0.3">
      <c r="B79"/>
      <c r="C79"/>
    </row>
    <row r="80" spans="2:3" x14ac:dyDescent="0.3">
      <c r="B80"/>
      <c r="C80"/>
    </row>
    <row r="81" spans="2:3" x14ac:dyDescent="0.3">
      <c r="B81"/>
      <c r="C81"/>
    </row>
    <row r="82" spans="2:3" x14ac:dyDescent="0.3">
      <c r="B82"/>
      <c r="C82"/>
    </row>
    <row r="83" spans="2:3" x14ac:dyDescent="0.3">
      <c r="B83"/>
      <c r="C83"/>
    </row>
    <row r="84" spans="2:3" x14ac:dyDescent="0.3">
      <c r="B84"/>
      <c r="C84"/>
    </row>
    <row r="85" spans="2:3" x14ac:dyDescent="0.3">
      <c r="B85"/>
      <c r="C85"/>
    </row>
    <row r="86" spans="2:3" x14ac:dyDescent="0.3">
      <c r="B86"/>
      <c r="C86"/>
    </row>
    <row r="87" spans="2:3" x14ac:dyDescent="0.3">
      <c r="B87"/>
      <c r="C87"/>
    </row>
    <row r="88" spans="2:3" x14ac:dyDescent="0.3">
      <c r="B88"/>
      <c r="C88"/>
    </row>
    <row r="89" spans="2:3" x14ac:dyDescent="0.3">
      <c r="B89"/>
      <c r="C89"/>
    </row>
    <row r="90" spans="2:3" x14ac:dyDescent="0.3">
      <c r="B90"/>
      <c r="C90"/>
    </row>
    <row r="91" spans="2:3" x14ac:dyDescent="0.3">
      <c r="B91"/>
      <c r="C91"/>
    </row>
    <row r="92" spans="2:3" x14ac:dyDescent="0.3">
      <c r="B92"/>
      <c r="C92"/>
    </row>
    <row r="93" spans="2:3" x14ac:dyDescent="0.3">
      <c r="B93"/>
      <c r="C93"/>
    </row>
    <row r="94" spans="2:3" x14ac:dyDescent="0.3">
      <c r="B94"/>
      <c r="C94"/>
    </row>
    <row r="95" spans="2:3" x14ac:dyDescent="0.3">
      <c r="B95"/>
      <c r="C95"/>
    </row>
    <row r="96" spans="2:3" x14ac:dyDescent="0.3">
      <c r="B96"/>
      <c r="C96"/>
    </row>
    <row r="97" spans="2:3" x14ac:dyDescent="0.3">
      <c r="B97"/>
      <c r="C97"/>
    </row>
    <row r="98" spans="2:3" x14ac:dyDescent="0.3">
      <c r="B98"/>
      <c r="C98"/>
    </row>
    <row r="99" spans="2:3" x14ac:dyDescent="0.3">
      <c r="B99"/>
      <c r="C99"/>
    </row>
    <row r="100" spans="2:3" x14ac:dyDescent="0.3">
      <c r="B100"/>
      <c r="C100"/>
    </row>
    <row r="101" spans="2:3" x14ac:dyDescent="0.3">
      <c r="B101"/>
      <c r="C101"/>
    </row>
    <row r="102" spans="2:3" x14ac:dyDescent="0.3">
      <c r="B102"/>
      <c r="C102"/>
    </row>
    <row r="103" spans="2:3" x14ac:dyDescent="0.3">
      <c r="B103"/>
      <c r="C103"/>
    </row>
    <row r="104" spans="2:3" x14ac:dyDescent="0.3">
      <c r="B104"/>
      <c r="C104"/>
    </row>
    <row r="105" spans="2:3" x14ac:dyDescent="0.3">
      <c r="B105"/>
      <c r="C105"/>
    </row>
    <row r="106" spans="2:3" x14ac:dyDescent="0.3">
      <c r="B106"/>
      <c r="C106"/>
    </row>
    <row r="107" spans="2:3" x14ac:dyDescent="0.3">
      <c r="B107"/>
      <c r="C107"/>
    </row>
    <row r="108" spans="2:3" x14ac:dyDescent="0.3">
      <c r="B108"/>
      <c r="C108"/>
    </row>
    <row r="109" spans="2:3" x14ac:dyDescent="0.3">
      <c r="B109"/>
      <c r="C109"/>
    </row>
    <row r="110" spans="2:3" x14ac:dyDescent="0.3">
      <c r="B110"/>
      <c r="C110"/>
    </row>
    <row r="111" spans="2:3" x14ac:dyDescent="0.3">
      <c r="B111"/>
      <c r="C111"/>
    </row>
    <row r="112" spans="2:3" x14ac:dyDescent="0.3">
      <c r="B112"/>
      <c r="C112"/>
    </row>
    <row r="113" spans="2:3" x14ac:dyDescent="0.3">
      <c r="B113"/>
      <c r="C113"/>
    </row>
    <row r="114" spans="2:3" x14ac:dyDescent="0.3">
      <c r="B114"/>
      <c r="C114"/>
    </row>
    <row r="115" spans="2:3" x14ac:dyDescent="0.3">
      <c r="B115"/>
      <c r="C115"/>
    </row>
    <row r="116" spans="2:3" x14ac:dyDescent="0.3">
      <c r="B116"/>
      <c r="C116"/>
    </row>
    <row r="117" spans="2:3" x14ac:dyDescent="0.3">
      <c r="B117"/>
      <c r="C117"/>
    </row>
    <row r="118" spans="2:3" x14ac:dyDescent="0.3">
      <c r="B118"/>
      <c r="C118"/>
    </row>
    <row r="119" spans="2:3" x14ac:dyDescent="0.3">
      <c r="B119"/>
      <c r="C119"/>
    </row>
    <row r="120" spans="2:3" x14ac:dyDescent="0.3">
      <c r="B120"/>
      <c r="C120"/>
    </row>
    <row r="121" spans="2:3" x14ac:dyDescent="0.3">
      <c r="B121"/>
      <c r="C121"/>
    </row>
    <row r="122" spans="2:3" x14ac:dyDescent="0.3">
      <c r="B122"/>
      <c r="C122"/>
    </row>
    <row r="123" spans="2:3" x14ac:dyDescent="0.3">
      <c r="B123"/>
      <c r="C123"/>
    </row>
    <row r="124" spans="2:3" x14ac:dyDescent="0.3">
      <c r="B124"/>
      <c r="C124"/>
    </row>
    <row r="125" spans="2:3" x14ac:dyDescent="0.3">
      <c r="B125"/>
      <c r="C125"/>
    </row>
    <row r="126" spans="2:3" x14ac:dyDescent="0.3">
      <c r="B126"/>
      <c r="C126"/>
    </row>
    <row r="127" spans="2:3" x14ac:dyDescent="0.3">
      <c r="B127"/>
      <c r="C127"/>
    </row>
    <row r="128" spans="2:3" x14ac:dyDescent="0.3">
      <c r="B128"/>
      <c r="C128"/>
    </row>
    <row r="129" spans="2:3" x14ac:dyDescent="0.3">
      <c r="B129"/>
      <c r="C129"/>
    </row>
    <row r="130" spans="2:3" x14ac:dyDescent="0.3">
      <c r="B130"/>
      <c r="C130"/>
    </row>
    <row r="131" spans="2:3" x14ac:dyDescent="0.3">
      <c r="B131"/>
      <c r="C131"/>
    </row>
    <row r="132" spans="2:3" x14ac:dyDescent="0.3">
      <c r="B132"/>
      <c r="C132"/>
    </row>
    <row r="133" spans="2:3" x14ac:dyDescent="0.3">
      <c r="B133"/>
      <c r="C133"/>
    </row>
    <row r="134" spans="2:3" x14ac:dyDescent="0.3">
      <c r="B134"/>
      <c r="C134"/>
    </row>
    <row r="135" spans="2:3" x14ac:dyDescent="0.3">
      <c r="B135"/>
      <c r="C135"/>
    </row>
    <row r="136" spans="2:3" x14ac:dyDescent="0.3">
      <c r="B136"/>
      <c r="C136"/>
    </row>
    <row r="137" spans="2:3" x14ac:dyDescent="0.3">
      <c r="B137"/>
      <c r="C137"/>
    </row>
    <row r="138" spans="2:3" x14ac:dyDescent="0.3">
      <c r="B138"/>
      <c r="C138"/>
    </row>
    <row r="139" spans="2:3" x14ac:dyDescent="0.3">
      <c r="B139"/>
      <c r="C139"/>
    </row>
    <row r="140" spans="2:3" x14ac:dyDescent="0.3">
      <c r="B140"/>
      <c r="C140"/>
    </row>
    <row r="141" spans="2:3" x14ac:dyDescent="0.3">
      <c r="B141"/>
      <c r="C141"/>
    </row>
    <row r="142" spans="2:3" x14ac:dyDescent="0.3">
      <c r="B142"/>
      <c r="C142"/>
    </row>
    <row r="143" spans="2:3" x14ac:dyDescent="0.3">
      <c r="B143"/>
      <c r="C143"/>
    </row>
    <row r="144" spans="2:3" x14ac:dyDescent="0.3">
      <c r="B144"/>
      <c r="C144"/>
    </row>
    <row r="145" spans="2:3" x14ac:dyDescent="0.3">
      <c r="B145"/>
      <c r="C145"/>
    </row>
    <row r="146" spans="2:3" x14ac:dyDescent="0.3">
      <c r="B146"/>
      <c r="C146"/>
    </row>
    <row r="147" spans="2:3" x14ac:dyDescent="0.3">
      <c r="B147"/>
      <c r="C147"/>
    </row>
    <row r="148" spans="2:3" x14ac:dyDescent="0.3">
      <c r="B148"/>
      <c r="C148"/>
    </row>
    <row r="149" spans="2:3" x14ac:dyDescent="0.3">
      <c r="B149"/>
      <c r="C149"/>
    </row>
    <row r="150" spans="2:3" x14ac:dyDescent="0.3">
      <c r="B150"/>
      <c r="C150"/>
    </row>
    <row r="151" spans="2:3" x14ac:dyDescent="0.3">
      <c r="B151"/>
      <c r="C151"/>
    </row>
    <row r="152" spans="2:3" x14ac:dyDescent="0.3">
      <c r="B152"/>
      <c r="C152"/>
    </row>
    <row r="153" spans="2:3" x14ac:dyDescent="0.3">
      <c r="B153"/>
      <c r="C153"/>
    </row>
    <row r="154" spans="2:3" x14ac:dyDescent="0.3">
      <c r="B154"/>
      <c r="C154"/>
    </row>
    <row r="155" spans="2:3" x14ac:dyDescent="0.3">
      <c r="B155"/>
      <c r="C155"/>
    </row>
    <row r="156" spans="2:3" x14ac:dyDescent="0.3">
      <c r="B156"/>
      <c r="C156"/>
    </row>
    <row r="157" spans="2:3" x14ac:dyDescent="0.3">
      <c r="B157"/>
      <c r="C157"/>
    </row>
    <row r="158" spans="2:3" x14ac:dyDescent="0.3">
      <c r="B158"/>
      <c r="C158"/>
    </row>
    <row r="159" spans="2:3" x14ac:dyDescent="0.3">
      <c r="B159"/>
      <c r="C159"/>
    </row>
    <row r="160" spans="2:3" x14ac:dyDescent="0.3">
      <c r="B160"/>
      <c r="C160"/>
    </row>
    <row r="161" spans="2:3" x14ac:dyDescent="0.3">
      <c r="B161"/>
      <c r="C161"/>
    </row>
    <row r="162" spans="2:3" x14ac:dyDescent="0.3">
      <c r="B162"/>
      <c r="C162"/>
    </row>
    <row r="163" spans="2:3" x14ac:dyDescent="0.3">
      <c r="B163"/>
      <c r="C163"/>
    </row>
    <row r="164" spans="2:3" x14ac:dyDescent="0.3">
      <c r="B164"/>
      <c r="C164"/>
    </row>
    <row r="165" spans="2:3" x14ac:dyDescent="0.3">
      <c r="B165"/>
      <c r="C165"/>
    </row>
    <row r="166" spans="2:3" x14ac:dyDescent="0.3">
      <c r="B166"/>
      <c r="C166"/>
    </row>
    <row r="167" spans="2:3" x14ac:dyDescent="0.3">
      <c r="B167"/>
      <c r="C167"/>
    </row>
    <row r="168" spans="2:3" x14ac:dyDescent="0.3">
      <c r="B168"/>
      <c r="C168"/>
    </row>
    <row r="169" spans="2:3" x14ac:dyDescent="0.3">
      <c r="B169"/>
      <c r="C169"/>
    </row>
    <row r="170" spans="2:3" x14ac:dyDescent="0.3">
      <c r="B170"/>
      <c r="C170"/>
    </row>
    <row r="171" spans="2:3" x14ac:dyDescent="0.3">
      <c r="B171"/>
      <c r="C171"/>
    </row>
    <row r="172" spans="2:3" x14ac:dyDescent="0.3">
      <c r="B172"/>
      <c r="C172"/>
    </row>
    <row r="173" spans="2:3" x14ac:dyDescent="0.3">
      <c r="B173"/>
      <c r="C173"/>
    </row>
    <row r="174" spans="2:3" x14ac:dyDescent="0.3">
      <c r="B174"/>
      <c r="C174"/>
    </row>
    <row r="175" spans="2:3" x14ac:dyDescent="0.3">
      <c r="B175"/>
      <c r="C175"/>
    </row>
    <row r="176" spans="2:3" x14ac:dyDescent="0.3">
      <c r="B176"/>
      <c r="C176"/>
    </row>
    <row r="177" spans="2:3" x14ac:dyDescent="0.3">
      <c r="B177"/>
      <c r="C177"/>
    </row>
    <row r="178" spans="2:3" x14ac:dyDescent="0.3">
      <c r="B178"/>
      <c r="C178"/>
    </row>
    <row r="179" spans="2:3" x14ac:dyDescent="0.3">
      <c r="B179"/>
      <c r="C179"/>
    </row>
    <row r="180" spans="2:3" x14ac:dyDescent="0.3">
      <c r="B180"/>
      <c r="C180"/>
    </row>
    <row r="181" spans="2:3" x14ac:dyDescent="0.3">
      <c r="B181"/>
      <c r="C181"/>
    </row>
    <row r="182" spans="2:3" x14ac:dyDescent="0.3">
      <c r="B182"/>
      <c r="C182"/>
    </row>
    <row r="183" spans="2:3" x14ac:dyDescent="0.3">
      <c r="B183"/>
      <c r="C183"/>
    </row>
    <row r="184" spans="2:3" x14ac:dyDescent="0.3">
      <c r="B184"/>
      <c r="C184"/>
    </row>
    <row r="185" spans="2:3" x14ac:dyDescent="0.3">
      <c r="B185"/>
      <c r="C185"/>
    </row>
    <row r="186" spans="2:3" x14ac:dyDescent="0.3">
      <c r="B186"/>
      <c r="C186"/>
    </row>
    <row r="187" spans="2:3" x14ac:dyDescent="0.3">
      <c r="B187"/>
      <c r="C187"/>
    </row>
    <row r="188" spans="2:3" x14ac:dyDescent="0.3">
      <c r="B188"/>
      <c r="C188"/>
    </row>
    <row r="189" spans="2:3" x14ac:dyDescent="0.3">
      <c r="B189"/>
      <c r="C189"/>
    </row>
    <row r="190" spans="2:3" x14ac:dyDescent="0.3">
      <c r="B190"/>
      <c r="C190"/>
    </row>
    <row r="191" spans="2:3" x14ac:dyDescent="0.3">
      <c r="B191"/>
      <c r="C191"/>
    </row>
    <row r="192" spans="2:3" x14ac:dyDescent="0.3">
      <c r="B192"/>
      <c r="C192"/>
    </row>
    <row r="193" spans="2:3" x14ac:dyDescent="0.3">
      <c r="B193"/>
      <c r="C193"/>
    </row>
    <row r="194" spans="2:3" x14ac:dyDescent="0.3">
      <c r="B194"/>
      <c r="C194"/>
    </row>
    <row r="195" spans="2:3" x14ac:dyDescent="0.3">
      <c r="B195"/>
      <c r="C195"/>
    </row>
    <row r="196" spans="2:3" x14ac:dyDescent="0.3">
      <c r="B196"/>
      <c r="C196"/>
    </row>
    <row r="197" spans="2:3" x14ac:dyDescent="0.3">
      <c r="B197"/>
      <c r="C197"/>
    </row>
    <row r="198" spans="2:3" x14ac:dyDescent="0.3">
      <c r="B198"/>
      <c r="C198"/>
    </row>
    <row r="199" spans="2:3" x14ac:dyDescent="0.3">
      <c r="B199"/>
      <c r="C199"/>
    </row>
    <row r="200" spans="2:3" x14ac:dyDescent="0.3">
      <c r="B200"/>
      <c r="C200"/>
    </row>
    <row r="201" spans="2:3" x14ac:dyDescent="0.3">
      <c r="B201"/>
      <c r="C201"/>
    </row>
    <row r="202" spans="2:3" x14ac:dyDescent="0.3">
      <c r="B202"/>
      <c r="C202"/>
    </row>
    <row r="203" spans="2:3" x14ac:dyDescent="0.3">
      <c r="B203"/>
      <c r="C203"/>
    </row>
    <row r="204" spans="2:3" x14ac:dyDescent="0.3">
      <c r="B204"/>
      <c r="C204"/>
    </row>
    <row r="205" spans="2:3" x14ac:dyDescent="0.3">
      <c r="B205"/>
      <c r="C205"/>
    </row>
    <row r="206" spans="2:3" x14ac:dyDescent="0.3">
      <c r="B206"/>
      <c r="C206"/>
    </row>
    <row r="207" spans="2:3" x14ac:dyDescent="0.3">
      <c r="B207"/>
      <c r="C207"/>
    </row>
    <row r="208" spans="2:3" x14ac:dyDescent="0.3">
      <c r="B208"/>
      <c r="C208"/>
    </row>
    <row r="209" spans="2:3" x14ac:dyDescent="0.3">
      <c r="B209"/>
      <c r="C209"/>
    </row>
    <row r="210" spans="2:3" x14ac:dyDescent="0.3">
      <c r="B210"/>
      <c r="C210"/>
    </row>
    <row r="211" spans="2:3" x14ac:dyDescent="0.3">
      <c r="B211"/>
      <c r="C211"/>
    </row>
    <row r="212" spans="2:3" x14ac:dyDescent="0.3">
      <c r="B212"/>
      <c r="C212"/>
    </row>
    <row r="213" spans="2:3" x14ac:dyDescent="0.3">
      <c r="B213"/>
      <c r="C213"/>
    </row>
    <row r="214" spans="2:3" x14ac:dyDescent="0.3">
      <c r="B214"/>
      <c r="C214"/>
    </row>
    <row r="215" spans="2:3" x14ac:dyDescent="0.3">
      <c r="B215"/>
      <c r="C215"/>
    </row>
    <row r="216" spans="2:3" x14ac:dyDescent="0.3">
      <c r="B216"/>
      <c r="C216"/>
    </row>
    <row r="217" spans="2:3" x14ac:dyDescent="0.3">
      <c r="B217"/>
      <c r="C217"/>
    </row>
    <row r="218" spans="2:3" x14ac:dyDescent="0.3">
      <c r="B218"/>
      <c r="C218"/>
    </row>
    <row r="219" spans="2:3" x14ac:dyDescent="0.3">
      <c r="B219"/>
      <c r="C219"/>
    </row>
    <row r="220" spans="2:3" x14ac:dyDescent="0.3">
      <c r="B220"/>
      <c r="C220"/>
    </row>
    <row r="221" spans="2:3" x14ac:dyDescent="0.3">
      <c r="B221"/>
      <c r="C221"/>
    </row>
    <row r="222" spans="2:3" x14ac:dyDescent="0.3">
      <c r="B222"/>
      <c r="C222"/>
    </row>
    <row r="223" spans="2:3" x14ac:dyDescent="0.3">
      <c r="B223"/>
      <c r="C223"/>
    </row>
    <row r="224" spans="2:3" x14ac:dyDescent="0.3">
      <c r="B224"/>
      <c r="C224"/>
    </row>
    <row r="225" spans="2:3" x14ac:dyDescent="0.3">
      <c r="B225"/>
      <c r="C225"/>
    </row>
    <row r="226" spans="2:3" x14ac:dyDescent="0.3">
      <c r="B226"/>
      <c r="C226"/>
    </row>
    <row r="227" spans="2:3" x14ac:dyDescent="0.3">
      <c r="B227"/>
      <c r="C227"/>
    </row>
    <row r="228" spans="2:3" x14ac:dyDescent="0.3">
      <c r="B228"/>
      <c r="C228"/>
    </row>
    <row r="229" spans="2:3" x14ac:dyDescent="0.3">
      <c r="B229"/>
      <c r="C229"/>
    </row>
    <row r="230" spans="2:3" x14ac:dyDescent="0.3">
      <c r="B230"/>
      <c r="C230"/>
    </row>
    <row r="231" spans="2:3" x14ac:dyDescent="0.3">
      <c r="B231"/>
      <c r="C231"/>
    </row>
    <row r="232" spans="2:3" x14ac:dyDescent="0.3">
      <c r="B232"/>
      <c r="C232"/>
    </row>
    <row r="233" spans="2:3" x14ac:dyDescent="0.3">
      <c r="B233"/>
      <c r="C233"/>
    </row>
    <row r="234" spans="2:3" x14ac:dyDescent="0.3">
      <c r="B234"/>
      <c r="C234"/>
    </row>
    <row r="235" spans="2:3" x14ac:dyDescent="0.3">
      <c r="B235"/>
      <c r="C235"/>
    </row>
    <row r="236" spans="2:3" x14ac:dyDescent="0.3">
      <c r="B236"/>
      <c r="C236"/>
    </row>
    <row r="237" spans="2:3" x14ac:dyDescent="0.3">
      <c r="B237"/>
      <c r="C237"/>
    </row>
    <row r="238" spans="2:3" x14ac:dyDescent="0.3">
      <c r="B238"/>
      <c r="C238"/>
    </row>
    <row r="239" spans="2:3" x14ac:dyDescent="0.3">
      <c r="B239"/>
      <c r="C239"/>
    </row>
    <row r="240" spans="2:3" x14ac:dyDescent="0.3">
      <c r="B240"/>
      <c r="C240"/>
    </row>
    <row r="241" spans="2:3" x14ac:dyDescent="0.3">
      <c r="B241"/>
      <c r="C241"/>
    </row>
    <row r="242" spans="2:3" x14ac:dyDescent="0.3">
      <c r="B242"/>
      <c r="C242"/>
    </row>
    <row r="243" spans="2:3" x14ac:dyDescent="0.3">
      <c r="B243"/>
      <c r="C243"/>
    </row>
    <row r="244" spans="2:3" x14ac:dyDescent="0.3">
      <c r="B244"/>
      <c r="C244"/>
    </row>
    <row r="245" spans="2:3" x14ac:dyDescent="0.3">
      <c r="B245"/>
      <c r="C245"/>
    </row>
    <row r="246" spans="2:3" x14ac:dyDescent="0.3">
      <c r="B246"/>
      <c r="C246"/>
    </row>
    <row r="247" spans="2:3" x14ac:dyDescent="0.3">
      <c r="B247"/>
      <c r="C247"/>
    </row>
    <row r="248" spans="2:3" x14ac:dyDescent="0.3">
      <c r="B248"/>
      <c r="C248"/>
    </row>
    <row r="249" spans="2:3" x14ac:dyDescent="0.3">
      <c r="B249"/>
      <c r="C249"/>
    </row>
    <row r="250" spans="2:3" x14ac:dyDescent="0.3">
      <c r="B250"/>
      <c r="C250"/>
    </row>
    <row r="251" spans="2:3" x14ac:dyDescent="0.3">
      <c r="B251"/>
      <c r="C251"/>
    </row>
    <row r="252" spans="2:3" x14ac:dyDescent="0.3">
      <c r="B252"/>
      <c r="C252"/>
    </row>
    <row r="253" spans="2:3" x14ac:dyDescent="0.3">
      <c r="B253"/>
      <c r="C253"/>
    </row>
    <row r="254" spans="2:3" x14ac:dyDescent="0.3">
      <c r="B254"/>
      <c r="C254"/>
    </row>
    <row r="255" spans="2:3" x14ac:dyDescent="0.3">
      <c r="B255"/>
      <c r="C255"/>
    </row>
    <row r="256" spans="2:3" x14ac:dyDescent="0.3">
      <c r="B256"/>
      <c r="C256"/>
    </row>
    <row r="257" spans="2:3" x14ac:dyDescent="0.3">
      <c r="B257"/>
      <c r="C257"/>
    </row>
    <row r="258" spans="2:3" x14ac:dyDescent="0.3">
      <c r="B258"/>
      <c r="C258"/>
    </row>
    <row r="259" spans="2:3" x14ac:dyDescent="0.3">
      <c r="B259"/>
      <c r="C259"/>
    </row>
    <row r="260" spans="2:3" x14ac:dyDescent="0.3">
      <c r="B260"/>
      <c r="C260"/>
    </row>
    <row r="261" spans="2:3" x14ac:dyDescent="0.3">
      <c r="B261"/>
      <c r="C261"/>
    </row>
    <row r="262" spans="2:3" x14ac:dyDescent="0.3">
      <c r="B262"/>
      <c r="C262"/>
    </row>
    <row r="263" spans="2:3" x14ac:dyDescent="0.3">
      <c r="B263"/>
      <c r="C263"/>
    </row>
    <row r="264" spans="2:3" x14ac:dyDescent="0.3">
      <c r="B264"/>
      <c r="C264"/>
    </row>
    <row r="265" spans="2:3" x14ac:dyDescent="0.3">
      <c r="B265"/>
      <c r="C265"/>
    </row>
    <row r="266" spans="2:3" x14ac:dyDescent="0.3">
      <c r="B266"/>
      <c r="C266"/>
    </row>
    <row r="267" spans="2:3" x14ac:dyDescent="0.3">
      <c r="B267"/>
      <c r="C267"/>
    </row>
    <row r="268" spans="2:3" x14ac:dyDescent="0.3">
      <c r="B268"/>
      <c r="C268"/>
    </row>
    <row r="269" spans="2:3" x14ac:dyDescent="0.3">
      <c r="B269"/>
      <c r="C269"/>
    </row>
    <row r="270" spans="2:3" x14ac:dyDescent="0.3">
      <c r="B270"/>
      <c r="C270"/>
    </row>
    <row r="271" spans="2:3" x14ac:dyDescent="0.3">
      <c r="B271"/>
      <c r="C271"/>
    </row>
    <row r="272" spans="2:3" x14ac:dyDescent="0.3">
      <c r="B272"/>
      <c r="C272"/>
    </row>
    <row r="273" spans="2:3" x14ac:dyDescent="0.3">
      <c r="B273"/>
      <c r="C273"/>
    </row>
    <row r="274" spans="2:3" x14ac:dyDescent="0.3">
      <c r="B274"/>
      <c r="C274"/>
    </row>
    <row r="275" spans="2:3" x14ac:dyDescent="0.3">
      <c r="B275"/>
      <c r="C275"/>
    </row>
    <row r="276" spans="2:3" x14ac:dyDescent="0.3">
      <c r="B276"/>
      <c r="C276"/>
    </row>
    <row r="277" spans="2:3" x14ac:dyDescent="0.3">
      <c r="B277"/>
      <c r="C277"/>
    </row>
    <row r="278" spans="2:3" x14ac:dyDescent="0.3">
      <c r="B278"/>
      <c r="C278"/>
    </row>
    <row r="279" spans="2:3" x14ac:dyDescent="0.3">
      <c r="B279"/>
      <c r="C279"/>
    </row>
    <row r="280" spans="2:3" x14ac:dyDescent="0.3">
      <c r="B280"/>
      <c r="C280"/>
    </row>
    <row r="281" spans="2:3" x14ac:dyDescent="0.3">
      <c r="B281"/>
      <c r="C281"/>
    </row>
    <row r="282" spans="2:3" x14ac:dyDescent="0.3">
      <c r="B282"/>
      <c r="C282"/>
    </row>
    <row r="283" spans="2:3" x14ac:dyDescent="0.3">
      <c r="B283"/>
      <c r="C283"/>
    </row>
    <row r="284" spans="2:3" x14ac:dyDescent="0.3">
      <c r="B284"/>
      <c r="C284"/>
    </row>
    <row r="285" spans="2:3" x14ac:dyDescent="0.3">
      <c r="B285"/>
      <c r="C285"/>
    </row>
    <row r="286" spans="2:3" x14ac:dyDescent="0.3">
      <c r="B286"/>
      <c r="C286"/>
    </row>
    <row r="287" spans="2:3" x14ac:dyDescent="0.3">
      <c r="B287"/>
      <c r="C287"/>
    </row>
    <row r="288" spans="2:3" x14ac:dyDescent="0.3">
      <c r="B288"/>
      <c r="C288"/>
    </row>
    <row r="289" spans="2:3" x14ac:dyDescent="0.3">
      <c r="B289"/>
      <c r="C289"/>
    </row>
    <row r="290" spans="2:3" x14ac:dyDescent="0.3">
      <c r="B290"/>
      <c r="C290"/>
    </row>
    <row r="291" spans="2:3" x14ac:dyDescent="0.3">
      <c r="B291"/>
      <c r="C291"/>
    </row>
    <row r="292" spans="2:3" x14ac:dyDescent="0.3">
      <c r="B292"/>
      <c r="C292"/>
    </row>
    <row r="293" spans="2:3" x14ac:dyDescent="0.3">
      <c r="B293"/>
      <c r="C293"/>
    </row>
    <row r="294" spans="2:3" x14ac:dyDescent="0.3">
      <c r="B294"/>
      <c r="C294"/>
    </row>
    <row r="295" spans="2:3" x14ac:dyDescent="0.3">
      <c r="B295"/>
      <c r="C295"/>
    </row>
    <row r="296" spans="2:3" x14ac:dyDescent="0.3">
      <c r="B296"/>
      <c r="C296"/>
    </row>
    <row r="297" spans="2:3" x14ac:dyDescent="0.3">
      <c r="B297"/>
      <c r="C297"/>
    </row>
    <row r="298" spans="2:3" x14ac:dyDescent="0.3">
      <c r="B298"/>
      <c r="C298"/>
    </row>
    <row r="299" spans="2:3" x14ac:dyDescent="0.3">
      <c r="B299"/>
      <c r="C299"/>
    </row>
    <row r="300" spans="2:3" x14ac:dyDescent="0.3">
      <c r="B300"/>
      <c r="C300"/>
    </row>
    <row r="301" spans="2:3" x14ac:dyDescent="0.3">
      <c r="B301"/>
      <c r="C301"/>
    </row>
    <row r="302" spans="2:3" x14ac:dyDescent="0.3">
      <c r="B302"/>
      <c r="C302"/>
    </row>
    <row r="303" spans="2:3" x14ac:dyDescent="0.3">
      <c r="B303"/>
      <c r="C303"/>
    </row>
    <row r="304" spans="2:3" x14ac:dyDescent="0.3">
      <c r="B304"/>
      <c r="C304"/>
    </row>
    <row r="305" spans="2:3" x14ac:dyDescent="0.3">
      <c r="B305"/>
      <c r="C305"/>
    </row>
    <row r="306" spans="2:3" x14ac:dyDescent="0.3">
      <c r="B306"/>
      <c r="C306"/>
    </row>
    <row r="307" spans="2:3" x14ac:dyDescent="0.3">
      <c r="B307"/>
      <c r="C307"/>
    </row>
    <row r="308" spans="2:3" x14ac:dyDescent="0.3">
      <c r="B308"/>
      <c r="C308"/>
    </row>
    <row r="309" spans="2:3" x14ac:dyDescent="0.3">
      <c r="B309"/>
      <c r="C309"/>
    </row>
    <row r="310" spans="2:3" x14ac:dyDescent="0.3">
      <c r="B310"/>
      <c r="C310"/>
    </row>
    <row r="311" spans="2:3" x14ac:dyDescent="0.3">
      <c r="B311"/>
      <c r="C311"/>
    </row>
    <row r="312" spans="2:3" x14ac:dyDescent="0.3">
      <c r="B312"/>
      <c r="C312"/>
    </row>
    <row r="313" spans="2:3" x14ac:dyDescent="0.3">
      <c r="B313"/>
      <c r="C313"/>
    </row>
    <row r="314" spans="2:3" x14ac:dyDescent="0.3">
      <c r="B314"/>
      <c r="C314"/>
    </row>
    <row r="315" spans="2:3" x14ac:dyDescent="0.3">
      <c r="B315"/>
      <c r="C315"/>
    </row>
    <row r="316" spans="2:3" x14ac:dyDescent="0.3">
      <c r="B316"/>
      <c r="C316"/>
    </row>
    <row r="317" spans="2:3" x14ac:dyDescent="0.3">
      <c r="B317"/>
      <c r="C317"/>
    </row>
    <row r="318" spans="2:3" x14ac:dyDescent="0.3">
      <c r="B318"/>
      <c r="C318"/>
    </row>
    <row r="319" spans="2:3" x14ac:dyDescent="0.3">
      <c r="B319"/>
      <c r="C319"/>
    </row>
    <row r="320" spans="2:3" x14ac:dyDescent="0.3">
      <c r="B320"/>
      <c r="C320"/>
    </row>
    <row r="321" spans="2:3" x14ac:dyDescent="0.3">
      <c r="B321"/>
      <c r="C321"/>
    </row>
    <row r="322" spans="2:3" x14ac:dyDescent="0.3">
      <c r="B322"/>
      <c r="C322"/>
    </row>
    <row r="323" spans="2:3" x14ac:dyDescent="0.3">
      <c r="B323"/>
      <c r="C323"/>
    </row>
    <row r="324" spans="2:3" x14ac:dyDescent="0.3">
      <c r="B324"/>
      <c r="C324"/>
    </row>
    <row r="325" spans="2:3" x14ac:dyDescent="0.3">
      <c r="B325"/>
      <c r="C325"/>
    </row>
    <row r="326" spans="2:3" x14ac:dyDescent="0.3">
      <c r="B326"/>
      <c r="C326"/>
    </row>
    <row r="327" spans="2:3" x14ac:dyDescent="0.3">
      <c r="B327"/>
      <c r="C327"/>
    </row>
    <row r="328" spans="2:3" x14ac:dyDescent="0.3">
      <c r="B328"/>
      <c r="C328"/>
    </row>
    <row r="329" spans="2:3" x14ac:dyDescent="0.3">
      <c r="B329"/>
      <c r="C329"/>
    </row>
    <row r="330" spans="2:3" x14ac:dyDescent="0.3">
      <c r="B330"/>
      <c r="C330"/>
    </row>
    <row r="331" spans="2:3" x14ac:dyDescent="0.3">
      <c r="B331"/>
      <c r="C331"/>
    </row>
    <row r="332" spans="2:3" x14ac:dyDescent="0.3">
      <c r="B332"/>
      <c r="C332"/>
    </row>
    <row r="333" spans="2:3" x14ac:dyDescent="0.3">
      <c r="B333"/>
      <c r="C333"/>
    </row>
    <row r="334" spans="2:3" x14ac:dyDescent="0.3">
      <c r="B334"/>
      <c r="C334"/>
    </row>
    <row r="335" spans="2:3" x14ac:dyDescent="0.3">
      <c r="B335"/>
      <c r="C335"/>
    </row>
    <row r="336" spans="2:3" x14ac:dyDescent="0.3">
      <c r="B336"/>
      <c r="C336"/>
    </row>
    <row r="337" spans="2:3" x14ac:dyDescent="0.3">
      <c r="B337"/>
      <c r="C337"/>
    </row>
    <row r="338" spans="2:3" x14ac:dyDescent="0.3">
      <c r="B338"/>
      <c r="C338"/>
    </row>
    <row r="339" spans="2:3" x14ac:dyDescent="0.3">
      <c r="B339"/>
      <c r="C339"/>
    </row>
    <row r="340" spans="2:3" x14ac:dyDescent="0.3">
      <c r="B340"/>
      <c r="C340"/>
    </row>
    <row r="341" spans="2:3" x14ac:dyDescent="0.3">
      <c r="B341"/>
      <c r="C341"/>
    </row>
    <row r="342" spans="2:3" x14ac:dyDescent="0.3">
      <c r="B342"/>
      <c r="C342"/>
    </row>
    <row r="343" spans="2:3" x14ac:dyDescent="0.3">
      <c r="B343"/>
      <c r="C343"/>
    </row>
    <row r="344" spans="2:3" x14ac:dyDescent="0.3">
      <c r="B344"/>
      <c r="C344"/>
    </row>
    <row r="345" spans="2:3" x14ac:dyDescent="0.3">
      <c r="B345"/>
      <c r="C345"/>
    </row>
    <row r="346" spans="2:3" x14ac:dyDescent="0.3">
      <c r="B346"/>
      <c r="C346"/>
    </row>
    <row r="347" spans="2:3" x14ac:dyDescent="0.3">
      <c r="B347"/>
      <c r="C347"/>
    </row>
    <row r="348" spans="2:3" x14ac:dyDescent="0.3">
      <c r="B348"/>
      <c r="C348"/>
    </row>
    <row r="349" spans="2:3" x14ac:dyDescent="0.3">
      <c r="B349"/>
      <c r="C349"/>
    </row>
    <row r="350" spans="2:3" x14ac:dyDescent="0.3">
      <c r="B350"/>
      <c r="C350"/>
    </row>
    <row r="351" spans="2:3" x14ac:dyDescent="0.3">
      <c r="B351"/>
      <c r="C351"/>
    </row>
    <row r="352" spans="2:3" x14ac:dyDescent="0.3">
      <c r="B352"/>
      <c r="C352"/>
    </row>
    <row r="353" spans="2:3" x14ac:dyDescent="0.3">
      <c r="B353"/>
      <c r="C353"/>
    </row>
    <row r="354" spans="2:3" x14ac:dyDescent="0.3">
      <c r="B354"/>
      <c r="C354"/>
    </row>
    <row r="355" spans="2:3" x14ac:dyDescent="0.3">
      <c r="B355"/>
      <c r="C355"/>
    </row>
    <row r="356" spans="2:3" x14ac:dyDescent="0.3">
      <c r="B356"/>
      <c r="C356"/>
    </row>
    <row r="357" spans="2:3" x14ac:dyDescent="0.3">
      <c r="B357"/>
      <c r="C357"/>
    </row>
    <row r="358" spans="2:3" x14ac:dyDescent="0.3">
      <c r="B358"/>
      <c r="C358"/>
    </row>
    <row r="359" spans="2:3" x14ac:dyDescent="0.3">
      <c r="B359"/>
      <c r="C359"/>
    </row>
    <row r="360" spans="2:3" x14ac:dyDescent="0.3">
      <c r="B360"/>
      <c r="C360"/>
    </row>
    <row r="361" spans="2:3" x14ac:dyDescent="0.3">
      <c r="B361"/>
      <c r="C361"/>
    </row>
    <row r="362" spans="2:3" x14ac:dyDescent="0.3">
      <c r="B362"/>
      <c r="C362"/>
    </row>
    <row r="363" spans="2:3" x14ac:dyDescent="0.3">
      <c r="B363"/>
      <c r="C363"/>
    </row>
    <row r="364" spans="2:3" x14ac:dyDescent="0.3">
      <c r="B364"/>
      <c r="C364"/>
    </row>
    <row r="365" spans="2:3" x14ac:dyDescent="0.3">
      <c r="B365"/>
      <c r="C365"/>
    </row>
    <row r="366" spans="2:3" x14ac:dyDescent="0.3">
      <c r="B366"/>
      <c r="C366"/>
    </row>
    <row r="367" spans="2:3" x14ac:dyDescent="0.3">
      <c r="B367"/>
      <c r="C367"/>
    </row>
    <row r="368" spans="2:3" x14ac:dyDescent="0.3">
      <c r="B368"/>
      <c r="C368"/>
    </row>
    <row r="369" spans="2:3" x14ac:dyDescent="0.3">
      <c r="B369"/>
      <c r="C369"/>
    </row>
    <row r="370" spans="2:3" x14ac:dyDescent="0.3">
      <c r="B370"/>
      <c r="C370"/>
    </row>
    <row r="371" spans="2:3" x14ac:dyDescent="0.3">
      <c r="B371"/>
      <c r="C371"/>
    </row>
    <row r="372" spans="2:3" x14ac:dyDescent="0.3">
      <c r="B372"/>
      <c r="C372"/>
    </row>
    <row r="373" spans="2:3" x14ac:dyDescent="0.3">
      <c r="B373"/>
      <c r="C373"/>
    </row>
    <row r="374" spans="2:3" x14ac:dyDescent="0.3">
      <c r="B374"/>
      <c r="C374"/>
    </row>
    <row r="375" spans="2:3" x14ac:dyDescent="0.3">
      <c r="B375"/>
      <c r="C375"/>
    </row>
    <row r="376" spans="2:3" x14ac:dyDescent="0.3">
      <c r="B376"/>
      <c r="C376"/>
    </row>
    <row r="377" spans="2:3" x14ac:dyDescent="0.3">
      <c r="B377"/>
      <c r="C377"/>
    </row>
    <row r="378" spans="2:3" x14ac:dyDescent="0.3">
      <c r="B378"/>
      <c r="C378"/>
    </row>
    <row r="379" spans="2:3" x14ac:dyDescent="0.3">
      <c r="B379"/>
      <c r="C379"/>
    </row>
    <row r="380" spans="2:3" x14ac:dyDescent="0.3">
      <c r="B380"/>
      <c r="C380"/>
    </row>
    <row r="381" spans="2:3" x14ac:dyDescent="0.3">
      <c r="B381"/>
      <c r="C381"/>
    </row>
    <row r="382" spans="2:3" x14ac:dyDescent="0.3">
      <c r="B382"/>
      <c r="C382"/>
    </row>
    <row r="383" spans="2:3" x14ac:dyDescent="0.3">
      <c r="B383"/>
      <c r="C383"/>
    </row>
    <row r="384" spans="2:3" x14ac:dyDescent="0.3">
      <c r="B384"/>
      <c r="C384"/>
    </row>
    <row r="385" spans="2:3" x14ac:dyDescent="0.3">
      <c r="B385"/>
      <c r="C385"/>
    </row>
    <row r="386" spans="2:3" x14ac:dyDescent="0.3">
      <c r="B386"/>
      <c r="C386"/>
    </row>
    <row r="387" spans="2:3" x14ac:dyDescent="0.3">
      <c r="B387"/>
      <c r="C387"/>
    </row>
    <row r="388" spans="2:3" x14ac:dyDescent="0.3">
      <c r="B388"/>
      <c r="C388"/>
    </row>
    <row r="389" spans="2:3" x14ac:dyDescent="0.3">
      <c r="B389"/>
      <c r="C389"/>
    </row>
    <row r="390" spans="2:3" x14ac:dyDescent="0.3">
      <c r="B390"/>
      <c r="C390"/>
    </row>
    <row r="391" spans="2:3" x14ac:dyDescent="0.3">
      <c r="B391"/>
      <c r="C391"/>
    </row>
    <row r="392" spans="2:3" x14ac:dyDescent="0.3">
      <c r="B392"/>
      <c r="C392"/>
    </row>
    <row r="393" spans="2:3" x14ac:dyDescent="0.3">
      <c r="B393"/>
      <c r="C393"/>
    </row>
    <row r="394" spans="2:3" x14ac:dyDescent="0.3">
      <c r="B394"/>
      <c r="C394"/>
    </row>
    <row r="395" spans="2:3" x14ac:dyDescent="0.3">
      <c r="B395"/>
      <c r="C395"/>
    </row>
    <row r="396" spans="2:3" x14ac:dyDescent="0.3">
      <c r="B396"/>
      <c r="C396"/>
    </row>
    <row r="397" spans="2:3" x14ac:dyDescent="0.3">
      <c r="B397"/>
      <c r="C397"/>
    </row>
    <row r="398" spans="2:3" x14ac:dyDescent="0.3">
      <c r="B398"/>
      <c r="C398"/>
    </row>
    <row r="399" spans="2:3" x14ac:dyDescent="0.3">
      <c r="B399"/>
      <c r="C399"/>
    </row>
    <row r="400" spans="2:3" x14ac:dyDescent="0.3">
      <c r="B400"/>
      <c r="C400"/>
    </row>
    <row r="401" spans="2:3" x14ac:dyDescent="0.3">
      <c r="B401"/>
      <c r="C401"/>
    </row>
    <row r="402" spans="2:3" x14ac:dyDescent="0.3">
      <c r="B402"/>
      <c r="C402"/>
    </row>
    <row r="403" spans="2:3" x14ac:dyDescent="0.3">
      <c r="B403"/>
      <c r="C403"/>
    </row>
    <row r="404" spans="2:3" x14ac:dyDescent="0.3">
      <c r="B404"/>
      <c r="C404"/>
    </row>
    <row r="405" spans="2:3" x14ac:dyDescent="0.3">
      <c r="B405"/>
      <c r="C405"/>
    </row>
    <row r="406" spans="2:3" x14ac:dyDescent="0.3">
      <c r="B406"/>
      <c r="C406"/>
    </row>
    <row r="407" spans="2:3" x14ac:dyDescent="0.3">
      <c r="B407"/>
      <c r="C407"/>
    </row>
    <row r="408" spans="2:3" x14ac:dyDescent="0.3">
      <c r="B408"/>
      <c r="C408"/>
    </row>
    <row r="409" spans="2:3" x14ac:dyDescent="0.3">
      <c r="B409"/>
      <c r="C409"/>
    </row>
    <row r="410" spans="2:3" x14ac:dyDescent="0.3">
      <c r="B410"/>
      <c r="C410"/>
    </row>
    <row r="411" spans="2:3" x14ac:dyDescent="0.3">
      <c r="B411"/>
      <c r="C411"/>
    </row>
    <row r="412" spans="2:3" x14ac:dyDescent="0.3">
      <c r="B412"/>
      <c r="C412"/>
    </row>
    <row r="413" spans="2:3" x14ac:dyDescent="0.3">
      <c r="B413"/>
      <c r="C413"/>
    </row>
    <row r="414" spans="2:3" x14ac:dyDescent="0.3">
      <c r="B414"/>
      <c r="C414"/>
    </row>
    <row r="415" spans="2:3" x14ac:dyDescent="0.3">
      <c r="B415"/>
      <c r="C415"/>
    </row>
    <row r="416" spans="2:3" x14ac:dyDescent="0.3">
      <c r="B416"/>
      <c r="C416"/>
    </row>
    <row r="417" spans="2:3" x14ac:dyDescent="0.3">
      <c r="B417"/>
      <c r="C417"/>
    </row>
    <row r="418" spans="2:3" x14ac:dyDescent="0.3">
      <c r="B418"/>
      <c r="C418"/>
    </row>
    <row r="419" spans="2:3" x14ac:dyDescent="0.3">
      <c r="B419"/>
      <c r="C419"/>
    </row>
    <row r="420" spans="2:3" x14ac:dyDescent="0.3">
      <c r="B420"/>
      <c r="C420"/>
    </row>
    <row r="421" spans="2:3" x14ac:dyDescent="0.3">
      <c r="B421"/>
      <c r="C421"/>
    </row>
    <row r="422" spans="2:3" x14ac:dyDescent="0.3">
      <c r="B422"/>
      <c r="C422"/>
    </row>
    <row r="423" spans="2:3" x14ac:dyDescent="0.3">
      <c r="B423"/>
      <c r="C423"/>
    </row>
    <row r="424" spans="2:3" x14ac:dyDescent="0.3">
      <c r="B424"/>
      <c r="C424"/>
    </row>
    <row r="425" spans="2:3" x14ac:dyDescent="0.3">
      <c r="B425"/>
      <c r="C425"/>
    </row>
    <row r="426" spans="2:3" x14ac:dyDescent="0.3">
      <c r="B426"/>
      <c r="C426"/>
    </row>
    <row r="427" spans="2:3" x14ac:dyDescent="0.3">
      <c r="B427"/>
      <c r="C427"/>
    </row>
    <row r="428" spans="2:3" x14ac:dyDescent="0.3">
      <c r="B428"/>
      <c r="C428"/>
    </row>
    <row r="429" spans="2:3" x14ac:dyDescent="0.3">
      <c r="B429"/>
      <c r="C429"/>
    </row>
    <row r="430" spans="2:3" x14ac:dyDescent="0.3">
      <c r="B430"/>
      <c r="C430"/>
    </row>
    <row r="431" spans="2:3" x14ac:dyDescent="0.3">
      <c r="B431"/>
      <c r="C431"/>
    </row>
    <row r="432" spans="2:3" x14ac:dyDescent="0.3">
      <c r="B432"/>
      <c r="C432"/>
    </row>
    <row r="433" spans="2:3" x14ac:dyDescent="0.3">
      <c r="B433"/>
      <c r="C433"/>
    </row>
    <row r="434" spans="2:3" x14ac:dyDescent="0.3">
      <c r="B434"/>
      <c r="C434"/>
    </row>
    <row r="435" spans="2:3" x14ac:dyDescent="0.3">
      <c r="B435"/>
      <c r="C435"/>
    </row>
    <row r="436" spans="2:3" x14ac:dyDescent="0.3">
      <c r="B436"/>
      <c r="C436"/>
    </row>
    <row r="437" spans="2:3" x14ac:dyDescent="0.3">
      <c r="B437"/>
      <c r="C437"/>
    </row>
    <row r="438" spans="2:3" x14ac:dyDescent="0.3">
      <c r="B438"/>
      <c r="C438"/>
    </row>
    <row r="439" spans="2:3" x14ac:dyDescent="0.3">
      <c r="B439"/>
      <c r="C439"/>
    </row>
    <row r="440" spans="2:3" x14ac:dyDescent="0.3">
      <c r="B440"/>
      <c r="C440"/>
    </row>
    <row r="441" spans="2:3" x14ac:dyDescent="0.3">
      <c r="B441"/>
      <c r="C441"/>
    </row>
    <row r="442" spans="2:3" x14ac:dyDescent="0.3">
      <c r="B442"/>
      <c r="C442"/>
    </row>
    <row r="443" spans="2:3" x14ac:dyDescent="0.3">
      <c r="B443"/>
      <c r="C443"/>
    </row>
    <row r="444" spans="2:3" x14ac:dyDescent="0.3">
      <c r="B444"/>
      <c r="C444"/>
    </row>
    <row r="445" spans="2:3" x14ac:dyDescent="0.3">
      <c r="B445"/>
      <c r="C445"/>
    </row>
    <row r="446" spans="2:3" x14ac:dyDescent="0.3">
      <c r="B446"/>
      <c r="C446"/>
    </row>
    <row r="447" spans="2:3" x14ac:dyDescent="0.3">
      <c r="B447"/>
      <c r="C447"/>
    </row>
    <row r="448" spans="2:3" x14ac:dyDescent="0.3">
      <c r="B448"/>
      <c r="C448"/>
    </row>
    <row r="449" spans="2:3" x14ac:dyDescent="0.3">
      <c r="B449"/>
      <c r="C449"/>
    </row>
    <row r="450" spans="2:3" x14ac:dyDescent="0.3">
      <c r="B450"/>
      <c r="C450"/>
    </row>
    <row r="451" spans="2:3" x14ac:dyDescent="0.3">
      <c r="B451"/>
      <c r="C451"/>
    </row>
    <row r="452" spans="2:3" x14ac:dyDescent="0.3">
      <c r="B452"/>
      <c r="C452"/>
    </row>
    <row r="453" spans="2:3" x14ac:dyDescent="0.3">
      <c r="B453"/>
      <c r="C453"/>
    </row>
    <row r="454" spans="2:3" x14ac:dyDescent="0.3">
      <c r="B454"/>
      <c r="C454"/>
    </row>
    <row r="455" spans="2:3" x14ac:dyDescent="0.3">
      <c r="B455"/>
      <c r="C455"/>
    </row>
    <row r="456" spans="2:3" x14ac:dyDescent="0.3">
      <c r="B456"/>
      <c r="C456"/>
    </row>
    <row r="457" spans="2:3" x14ac:dyDescent="0.3">
      <c r="B457"/>
      <c r="C457"/>
    </row>
    <row r="458" spans="2:3" x14ac:dyDescent="0.3">
      <c r="B458"/>
      <c r="C458"/>
    </row>
    <row r="459" spans="2:3" x14ac:dyDescent="0.3">
      <c r="B459"/>
      <c r="C459"/>
    </row>
    <row r="460" spans="2:3" x14ac:dyDescent="0.3">
      <c r="B460"/>
      <c r="C460"/>
    </row>
    <row r="461" spans="2:3" x14ac:dyDescent="0.3">
      <c r="B461"/>
      <c r="C461"/>
    </row>
    <row r="462" spans="2:3" x14ac:dyDescent="0.3">
      <c r="B462"/>
      <c r="C462"/>
    </row>
    <row r="463" spans="2:3" x14ac:dyDescent="0.3">
      <c r="B463"/>
      <c r="C463"/>
    </row>
    <row r="464" spans="2:3" x14ac:dyDescent="0.3">
      <c r="B464"/>
      <c r="C464"/>
    </row>
    <row r="465" spans="2:3" x14ac:dyDescent="0.3">
      <c r="B465"/>
      <c r="C465"/>
    </row>
    <row r="466" spans="2:3" x14ac:dyDescent="0.3">
      <c r="B466"/>
      <c r="C466"/>
    </row>
    <row r="467" spans="2:3" x14ac:dyDescent="0.3">
      <c r="B467"/>
      <c r="C467"/>
    </row>
    <row r="468" spans="2:3" x14ac:dyDescent="0.3">
      <c r="B468"/>
      <c r="C468"/>
    </row>
    <row r="469" spans="2:3" x14ac:dyDescent="0.3">
      <c r="B469"/>
      <c r="C469"/>
    </row>
    <row r="470" spans="2:3" x14ac:dyDescent="0.3">
      <c r="B470"/>
      <c r="C470"/>
    </row>
    <row r="471" spans="2:3" x14ac:dyDescent="0.3">
      <c r="B471"/>
      <c r="C471"/>
    </row>
    <row r="472" spans="2:3" x14ac:dyDescent="0.3">
      <c r="B472"/>
      <c r="C472"/>
    </row>
    <row r="473" spans="2:3" x14ac:dyDescent="0.3">
      <c r="B473"/>
      <c r="C473"/>
    </row>
    <row r="474" spans="2:3" x14ac:dyDescent="0.3">
      <c r="B474"/>
      <c r="C474"/>
    </row>
    <row r="475" spans="2:3" x14ac:dyDescent="0.3">
      <c r="B475"/>
      <c r="C475"/>
    </row>
    <row r="476" spans="2:3" x14ac:dyDescent="0.3">
      <c r="B476"/>
      <c r="C476"/>
    </row>
    <row r="477" spans="2:3" x14ac:dyDescent="0.3">
      <c r="B477"/>
      <c r="C477"/>
    </row>
    <row r="478" spans="2:3" x14ac:dyDescent="0.3">
      <c r="B478"/>
      <c r="C478"/>
    </row>
    <row r="479" spans="2:3" x14ac:dyDescent="0.3">
      <c r="B479"/>
      <c r="C479"/>
    </row>
    <row r="480" spans="2:3" x14ac:dyDescent="0.3">
      <c r="B480"/>
      <c r="C480"/>
    </row>
    <row r="481" spans="2:3" x14ac:dyDescent="0.3">
      <c r="B481"/>
      <c r="C481"/>
    </row>
    <row r="482" spans="2:3" x14ac:dyDescent="0.3">
      <c r="B482"/>
      <c r="C482"/>
    </row>
    <row r="483" spans="2:3" x14ac:dyDescent="0.3">
      <c r="B483"/>
      <c r="C483"/>
    </row>
    <row r="484" spans="2:3" x14ac:dyDescent="0.3">
      <c r="B484"/>
      <c r="C484"/>
    </row>
    <row r="485" spans="2:3" x14ac:dyDescent="0.3">
      <c r="B485"/>
      <c r="C485"/>
    </row>
    <row r="486" spans="2:3" x14ac:dyDescent="0.3">
      <c r="B486"/>
      <c r="C486"/>
    </row>
    <row r="487" spans="2:3" x14ac:dyDescent="0.3">
      <c r="B487"/>
      <c r="C487"/>
    </row>
    <row r="488" spans="2:3" x14ac:dyDescent="0.3">
      <c r="B488"/>
      <c r="C488"/>
    </row>
    <row r="489" spans="2:3" x14ac:dyDescent="0.3">
      <c r="B489"/>
      <c r="C489"/>
    </row>
    <row r="490" spans="2:3" x14ac:dyDescent="0.3">
      <c r="B490"/>
      <c r="C490"/>
    </row>
    <row r="491" spans="2:3" x14ac:dyDescent="0.3">
      <c r="B491"/>
      <c r="C491"/>
    </row>
    <row r="492" spans="2:3" x14ac:dyDescent="0.3">
      <c r="B492"/>
      <c r="C492"/>
    </row>
    <row r="493" spans="2:3" x14ac:dyDescent="0.3">
      <c r="B493"/>
      <c r="C493"/>
    </row>
    <row r="494" spans="2:3" x14ac:dyDescent="0.3">
      <c r="B494"/>
      <c r="C494"/>
    </row>
    <row r="495" spans="2:3" x14ac:dyDescent="0.3">
      <c r="B495"/>
      <c r="C495"/>
    </row>
    <row r="496" spans="2:3" x14ac:dyDescent="0.3">
      <c r="B496"/>
      <c r="C496"/>
    </row>
    <row r="497" spans="2:3" x14ac:dyDescent="0.3">
      <c r="B497"/>
      <c r="C497"/>
    </row>
    <row r="498" spans="2:3" x14ac:dyDescent="0.3">
      <c r="B498"/>
      <c r="C498"/>
    </row>
    <row r="499" spans="2:3" x14ac:dyDescent="0.3">
      <c r="B499"/>
      <c r="C499"/>
    </row>
    <row r="500" spans="2:3" x14ac:dyDescent="0.3">
      <c r="B500"/>
      <c r="C500"/>
    </row>
    <row r="501" spans="2:3" x14ac:dyDescent="0.3">
      <c r="B501"/>
      <c r="C501"/>
    </row>
    <row r="502" spans="2:3" x14ac:dyDescent="0.3">
      <c r="B502"/>
      <c r="C502"/>
    </row>
    <row r="503" spans="2:3" x14ac:dyDescent="0.3">
      <c r="B503"/>
      <c r="C503"/>
    </row>
    <row r="504" spans="2:3" x14ac:dyDescent="0.3">
      <c r="B504"/>
      <c r="C504"/>
    </row>
    <row r="505" spans="2:3" x14ac:dyDescent="0.3">
      <c r="B505"/>
      <c r="C505"/>
    </row>
    <row r="506" spans="2:3" x14ac:dyDescent="0.3">
      <c r="B506"/>
      <c r="C506"/>
    </row>
    <row r="507" spans="2:3" x14ac:dyDescent="0.3">
      <c r="B507"/>
      <c r="C507"/>
    </row>
    <row r="508" spans="2:3" x14ac:dyDescent="0.3">
      <c r="B508"/>
      <c r="C508"/>
    </row>
    <row r="509" spans="2:3" x14ac:dyDescent="0.3">
      <c r="B509"/>
      <c r="C509"/>
    </row>
    <row r="510" spans="2:3" x14ac:dyDescent="0.3">
      <c r="B510"/>
      <c r="C510"/>
    </row>
    <row r="511" spans="2:3" x14ac:dyDescent="0.3">
      <c r="B511"/>
      <c r="C511"/>
    </row>
    <row r="512" spans="2:3" x14ac:dyDescent="0.3">
      <c r="B512"/>
      <c r="C512"/>
    </row>
    <row r="513" spans="2:3" x14ac:dyDescent="0.3">
      <c r="B513"/>
      <c r="C513"/>
    </row>
    <row r="514" spans="2:3" x14ac:dyDescent="0.3">
      <c r="B514"/>
      <c r="C514"/>
    </row>
    <row r="515" spans="2:3" x14ac:dyDescent="0.3">
      <c r="B515"/>
      <c r="C515"/>
    </row>
    <row r="516" spans="2:3" x14ac:dyDescent="0.3">
      <c r="B516"/>
      <c r="C516"/>
    </row>
    <row r="517" spans="2:3" x14ac:dyDescent="0.3">
      <c r="B517"/>
      <c r="C517"/>
    </row>
    <row r="518" spans="2:3" x14ac:dyDescent="0.3">
      <c r="B518"/>
      <c r="C518"/>
    </row>
    <row r="519" spans="2:3" x14ac:dyDescent="0.3">
      <c r="B519"/>
      <c r="C519"/>
    </row>
    <row r="520" spans="2:3" x14ac:dyDescent="0.3">
      <c r="B520"/>
      <c r="C520"/>
    </row>
    <row r="521" spans="2:3" x14ac:dyDescent="0.3">
      <c r="B521"/>
      <c r="C521"/>
    </row>
    <row r="522" spans="2:3" x14ac:dyDescent="0.3">
      <c r="B522"/>
      <c r="C522"/>
    </row>
    <row r="523" spans="2:3" x14ac:dyDescent="0.3">
      <c r="B523"/>
      <c r="C523"/>
    </row>
    <row r="524" spans="2:3" x14ac:dyDescent="0.3">
      <c r="B524"/>
      <c r="C524"/>
    </row>
    <row r="525" spans="2:3" x14ac:dyDescent="0.3">
      <c r="B525"/>
      <c r="C525"/>
    </row>
    <row r="526" spans="2:3" x14ac:dyDescent="0.3">
      <c r="B526"/>
      <c r="C526"/>
    </row>
    <row r="527" spans="2:3" x14ac:dyDescent="0.3">
      <c r="B527"/>
      <c r="C527"/>
    </row>
    <row r="528" spans="2:3" x14ac:dyDescent="0.3">
      <c r="B528"/>
      <c r="C528"/>
    </row>
    <row r="529" spans="2:3" x14ac:dyDescent="0.3">
      <c r="B529"/>
      <c r="C529"/>
    </row>
    <row r="530" spans="2:3" x14ac:dyDescent="0.3">
      <c r="B530"/>
      <c r="C530"/>
    </row>
    <row r="531" spans="2:3" x14ac:dyDescent="0.3">
      <c r="B531"/>
      <c r="C531"/>
    </row>
    <row r="532" spans="2:3" x14ac:dyDescent="0.3">
      <c r="B532"/>
      <c r="C532"/>
    </row>
    <row r="533" spans="2:3" x14ac:dyDescent="0.3">
      <c r="B533"/>
      <c r="C533"/>
    </row>
    <row r="534" spans="2:3" x14ac:dyDescent="0.3">
      <c r="B534"/>
      <c r="C534"/>
    </row>
    <row r="535" spans="2:3" x14ac:dyDescent="0.3">
      <c r="B535"/>
      <c r="C535"/>
    </row>
    <row r="536" spans="2:3" x14ac:dyDescent="0.3">
      <c r="B536"/>
      <c r="C536"/>
    </row>
    <row r="537" spans="2:3" x14ac:dyDescent="0.3">
      <c r="B537"/>
      <c r="C537"/>
    </row>
    <row r="538" spans="2:3" x14ac:dyDescent="0.3">
      <c r="B538"/>
      <c r="C538"/>
    </row>
    <row r="539" spans="2:3" x14ac:dyDescent="0.3">
      <c r="B539"/>
      <c r="C539"/>
    </row>
    <row r="540" spans="2:3" x14ac:dyDescent="0.3">
      <c r="B540"/>
      <c r="C540"/>
    </row>
    <row r="541" spans="2:3" x14ac:dyDescent="0.3">
      <c r="B541"/>
      <c r="C541"/>
    </row>
    <row r="542" spans="2:3" x14ac:dyDescent="0.3">
      <c r="B542"/>
      <c r="C542"/>
    </row>
    <row r="543" spans="2:3" x14ac:dyDescent="0.3">
      <c r="B543"/>
      <c r="C543"/>
    </row>
    <row r="544" spans="2:3" x14ac:dyDescent="0.3">
      <c r="B544"/>
      <c r="C544"/>
    </row>
    <row r="545" spans="2:3" x14ac:dyDescent="0.3">
      <c r="B545"/>
      <c r="C545"/>
    </row>
    <row r="546" spans="2:3" x14ac:dyDescent="0.3">
      <c r="B546"/>
      <c r="C546"/>
    </row>
    <row r="547" spans="2:3" x14ac:dyDescent="0.3">
      <c r="B547"/>
      <c r="C547"/>
    </row>
    <row r="548" spans="2:3" x14ac:dyDescent="0.3">
      <c r="B548"/>
      <c r="C548"/>
    </row>
    <row r="549" spans="2:3" x14ac:dyDescent="0.3">
      <c r="B549"/>
      <c r="C549"/>
    </row>
    <row r="550" spans="2:3" x14ac:dyDescent="0.3">
      <c r="B550"/>
      <c r="C550"/>
    </row>
    <row r="551" spans="2:3" x14ac:dyDescent="0.3">
      <c r="B551"/>
      <c r="C551"/>
    </row>
    <row r="552" spans="2:3" x14ac:dyDescent="0.3">
      <c r="B552"/>
      <c r="C552"/>
    </row>
    <row r="553" spans="2:3" x14ac:dyDescent="0.3">
      <c r="B553"/>
      <c r="C553"/>
    </row>
    <row r="554" spans="2:3" x14ac:dyDescent="0.3">
      <c r="B554"/>
      <c r="C554"/>
    </row>
    <row r="555" spans="2:3" x14ac:dyDescent="0.3">
      <c r="B555"/>
      <c r="C555"/>
    </row>
    <row r="556" spans="2:3" x14ac:dyDescent="0.3">
      <c r="B556"/>
      <c r="C556"/>
    </row>
    <row r="557" spans="2:3" x14ac:dyDescent="0.3">
      <c r="B557"/>
      <c r="C557"/>
    </row>
    <row r="558" spans="2:3" x14ac:dyDescent="0.3">
      <c r="B558"/>
      <c r="C558"/>
    </row>
    <row r="559" spans="2:3" x14ac:dyDescent="0.3">
      <c r="B559"/>
      <c r="C559"/>
    </row>
    <row r="560" spans="2:3" x14ac:dyDescent="0.3">
      <c r="B560"/>
      <c r="C560"/>
    </row>
    <row r="561" spans="2:3" x14ac:dyDescent="0.3">
      <c r="B561"/>
      <c r="C561"/>
    </row>
    <row r="562" spans="2:3" x14ac:dyDescent="0.3">
      <c r="B562"/>
      <c r="C562"/>
    </row>
    <row r="563" spans="2:3" x14ac:dyDescent="0.3">
      <c r="B563"/>
      <c r="C563"/>
    </row>
    <row r="564" spans="2:3" x14ac:dyDescent="0.3">
      <c r="B564"/>
      <c r="C564"/>
    </row>
    <row r="565" spans="2:3" x14ac:dyDescent="0.3">
      <c r="B565"/>
      <c r="C565"/>
    </row>
    <row r="566" spans="2:3" x14ac:dyDescent="0.3">
      <c r="B566"/>
      <c r="C566"/>
    </row>
    <row r="567" spans="2:3" x14ac:dyDescent="0.3">
      <c r="B567"/>
      <c r="C567"/>
    </row>
    <row r="568" spans="2:3" x14ac:dyDescent="0.3">
      <c r="B568"/>
      <c r="C568"/>
    </row>
    <row r="569" spans="2:3" x14ac:dyDescent="0.3">
      <c r="B569"/>
      <c r="C569"/>
    </row>
    <row r="570" spans="2:3" x14ac:dyDescent="0.3">
      <c r="B570"/>
      <c r="C570"/>
    </row>
    <row r="571" spans="2:3" x14ac:dyDescent="0.3">
      <c r="B571"/>
      <c r="C571"/>
    </row>
    <row r="572" spans="2:3" x14ac:dyDescent="0.3">
      <c r="B572"/>
      <c r="C572"/>
    </row>
    <row r="573" spans="2:3" x14ac:dyDescent="0.3">
      <c r="B573"/>
      <c r="C573"/>
    </row>
    <row r="574" spans="2:3" x14ac:dyDescent="0.3">
      <c r="B574"/>
      <c r="C574"/>
    </row>
    <row r="575" spans="2:3" x14ac:dyDescent="0.3">
      <c r="B575"/>
      <c r="C575"/>
    </row>
    <row r="576" spans="2:3" x14ac:dyDescent="0.3">
      <c r="B576"/>
      <c r="C576"/>
    </row>
    <row r="577" spans="2:3" x14ac:dyDescent="0.3">
      <c r="B577"/>
      <c r="C577"/>
    </row>
    <row r="578" spans="2:3" x14ac:dyDescent="0.3">
      <c r="B578"/>
      <c r="C578"/>
    </row>
    <row r="579" spans="2:3" x14ac:dyDescent="0.3">
      <c r="B579"/>
      <c r="C579"/>
    </row>
    <row r="580" spans="2:3" x14ac:dyDescent="0.3">
      <c r="B580"/>
      <c r="C580"/>
    </row>
    <row r="581" spans="2:3" x14ac:dyDescent="0.3">
      <c r="B581"/>
      <c r="C581"/>
    </row>
    <row r="582" spans="2:3" x14ac:dyDescent="0.3">
      <c r="B582"/>
      <c r="C582"/>
    </row>
    <row r="583" spans="2:3" x14ac:dyDescent="0.3">
      <c r="B583"/>
      <c r="C583"/>
    </row>
    <row r="584" spans="2:3" x14ac:dyDescent="0.3">
      <c r="B584"/>
      <c r="C584"/>
    </row>
    <row r="585" spans="2:3" x14ac:dyDescent="0.3">
      <c r="B585"/>
      <c r="C585"/>
    </row>
    <row r="586" spans="2:3" x14ac:dyDescent="0.3">
      <c r="B586"/>
      <c r="C586"/>
    </row>
    <row r="587" spans="2:3" x14ac:dyDescent="0.3">
      <c r="B587"/>
      <c r="C587"/>
    </row>
    <row r="588" spans="2:3" x14ac:dyDescent="0.3">
      <c r="B588"/>
      <c r="C588"/>
    </row>
    <row r="589" spans="2:3" x14ac:dyDescent="0.3">
      <c r="B589"/>
      <c r="C589"/>
    </row>
    <row r="590" spans="2:3" x14ac:dyDescent="0.3">
      <c r="B590"/>
      <c r="C590"/>
    </row>
    <row r="591" spans="2:3" x14ac:dyDescent="0.3">
      <c r="B591"/>
      <c r="C591"/>
    </row>
    <row r="592" spans="2:3" x14ac:dyDescent="0.3">
      <c r="B592"/>
      <c r="C592"/>
    </row>
    <row r="593" spans="2:3" x14ac:dyDescent="0.3">
      <c r="B593"/>
      <c r="C593"/>
    </row>
    <row r="594" spans="2:3" x14ac:dyDescent="0.3">
      <c r="B594"/>
      <c r="C594"/>
    </row>
    <row r="595" spans="2:3" x14ac:dyDescent="0.3">
      <c r="B595"/>
      <c r="C595"/>
    </row>
    <row r="596" spans="2:3" x14ac:dyDescent="0.3">
      <c r="B596"/>
      <c r="C596"/>
    </row>
    <row r="597" spans="2:3" x14ac:dyDescent="0.3">
      <c r="B597"/>
      <c r="C597"/>
    </row>
    <row r="598" spans="2:3" x14ac:dyDescent="0.3">
      <c r="B598"/>
      <c r="C598"/>
    </row>
    <row r="599" spans="2:3" x14ac:dyDescent="0.3">
      <c r="B599"/>
      <c r="C599"/>
    </row>
    <row r="600" spans="2:3" x14ac:dyDescent="0.3">
      <c r="B600"/>
      <c r="C600"/>
    </row>
    <row r="601" spans="2:3" x14ac:dyDescent="0.3">
      <c r="B601"/>
      <c r="C601"/>
    </row>
    <row r="602" spans="2:3" x14ac:dyDescent="0.3">
      <c r="B602"/>
      <c r="C602"/>
    </row>
    <row r="603" spans="2:3" x14ac:dyDescent="0.3">
      <c r="B603"/>
      <c r="C603"/>
    </row>
    <row r="604" spans="2:3" x14ac:dyDescent="0.3">
      <c r="B604"/>
      <c r="C604"/>
    </row>
    <row r="605" spans="2:3" x14ac:dyDescent="0.3">
      <c r="B605"/>
      <c r="C605"/>
    </row>
    <row r="606" spans="2:3" x14ac:dyDescent="0.3">
      <c r="B606"/>
      <c r="C606"/>
    </row>
    <row r="607" spans="2:3" x14ac:dyDescent="0.3">
      <c r="B607"/>
      <c r="C607"/>
    </row>
    <row r="608" spans="2:3" x14ac:dyDescent="0.3">
      <c r="B608"/>
      <c r="C608"/>
    </row>
    <row r="609" spans="2:3" x14ac:dyDescent="0.3">
      <c r="B609"/>
      <c r="C609"/>
    </row>
    <row r="610" spans="2:3" x14ac:dyDescent="0.3">
      <c r="B610"/>
      <c r="C610"/>
    </row>
    <row r="611" spans="2:3" x14ac:dyDescent="0.3">
      <c r="B611"/>
      <c r="C611"/>
    </row>
    <row r="612" spans="2:3" x14ac:dyDescent="0.3">
      <c r="B612"/>
      <c r="C612"/>
    </row>
    <row r="613" spans="2:3" x14ac:dyDescent="0.3">
      <c r="B613"/>
      <c r="C613"/>
    </row>
    <row r="614" spans="2:3" x14ac:dyDescent="0.3">
      <c r="B614"/>
      <c r="C614"/>
    </row>
    <row r="615" spans="2:3" x14ac:dyDescent="0.3">
      <c r="B615"/>
      <c r="C615"/>
    </row>
    <row r="616" spans="2:3" x14ac:dyDescent="0.3">
      <c r="B616"/>
      <c r="C616"/>
    </row>
    <row r="617" spans="2:3" x14ac:dyDescent="0.3">
      <c r="B617"/>
      <c r="C617"/>
    </row>
    <row r="618" spans="2:3" x14ac:dyDescent="0.3">
      <c r="B618"/>
      <c r="C618"/>
    </row>
    <row r="619" spans="2:3" x14ac:dyDescent="0.3">
      <c r="B619"/>
      <c r="C619"/>
    </row>
    <row r="620" spans="2:3" x14ac:dyDescent="0.3">
      <c r="B620"/>
      <c r="C620"/>
    </row>
    <row r="621" spans="2:3" x14ac:dyDescent="0.3">
      <c r="B621"/>
      <c r="C621"/>
    </row>
    <row r="622" spans="2:3" x14ac:dyDescent="0.3">
      <c r="B622"/>
      <c r="C622"/>
    </row>
    <row r="623" spans="2:3" x14ac:dyDescent="0.3">
      <c r="B623"/>
      <c r="C623"/>
    </row>
    <row r="624" spans="2:3" x14ac:dyDescent="0.3">
      <c r="B624"/>
      <c r="C624"/>
    </row>
    <row r="625" spans="2:3" x14ac:dyDescent="0.3">
      <c r="B625"/>
      <c r="C625"/>
    </row>
    <row r="626" spans="2:3" x14ac:dyDescent="0.3">
      <c r="B626"/>
      <c r="C626"/>
    </row>
    <row r="627" spans="2:3" x14ac:dyDescent="0.3">
      <c r="B627"/>
      <c r="C627"/>
    </row>
    <row r="628" spans="2:3" x14ac:dyDescent="0.3">
      <c r="B628"/>
      <c r="C628"/>
    </row>
    <row r="629" spans="2:3" x14ac:dyDescent="0.3">
      <c r="B629"/>
      <c r="C629"/>
    </row>
    <row r="630" spans="2:3" x14ac:dyDescent="0.3">
      <c r="B630"/>
      <c r="C630"/>
    </row>
    <row r="631" spans="2:3" x14ac:dyDescent="0.3">
      <c r="B631"/>
      <c r="C631"/>
    </row>
    <row r="632" spans="2:3" x14ac:dyDescent="0.3">
      <c r="B632"/>
      <c r="C632"/>
    </row>
    <row r="633" spans="2:3" x14ac:dyDescent="0.3">
      <c r="B633"/>
      <c r="C633"/>
    </row>
    <row r="634" spans="2:3" x14ac:dyDescent="0.3">
      <c r="B634"/>
      <c r="C634"/>
    </row>
    <row r="635" spans="2:3" x14ac:dyDescent="0.3">
      <c r="B635"/>
      <c r="C635"/>
    </row>
    <row r="636" spans="2:3" x14ac:dyDescent="0.3">
      <c r="B636"/>
      <c r="C636"/>
    </row>
    <row r="637" spans="2:3" x14ac:dyDescent="0.3">
      <c r="B637"/>
      <c r="C637"/>
    </row>
    <row r="638" spans="2:3" x14ac:dyDescent="0.3">
      <c r="B638"/>
      <c r="C638"/>
    </row>
    <row r="639" spans="2:3" x14ac:dyDescent="0.3">
      <c r="B639"/>
      <c r="C639"/>
    </row>
    <row r="640" spans="2:3" x14ac:dyDescent="0.3">
      <c r="B640"/>
      <c r="C640"/>
    </row>
    <row r="641" spans="2:3" x14ac:dyDescent="0.3">
      <c r="B641"/>
      <c r="C641"/>
    </row>
    <row r="642" spans="2:3" x14ac:dyDescent="0.3">
      <c r="B642"/>
      <c r="C642"/>
    </row>
    <row r="643" spans="2:3" x14ac:dyDescent="0.3">
      <c r="B643"/>
      <c r="C643"/>
    </row>
    <row r="644" spans="2:3" x14ac:dyDescent="0.3">
      <c r="B644"/>
      <c r="C644"/>
    </row>
    <row r="645" spans="2:3" x14ac:dyDescent="0.3">
      <c r="B645"/>
      <c r="C645"/>
    </row>
    <row r="646" spans="2:3" x14ac:dyDescent="0.3">
      <c r="B646"/>
      <c r="C646"/>
    </row>
    <row r="647" spans="2:3" x14ac:dyDescent="0.3">
      <c r="B647"/>
      <c r="C647"/>
    </row>
    <row r="648" spans="2:3" x14ac:dyDescent="0.3">
      <c r="B648"/>
      <c r="C648"/>
    </row>
    <row r="649" spans="2:3" x14ac:dyDescent="0.3">
      <c r="B649"/>
      <c r="C649"/>
    </row>
    <row r="650" spans="2:3" x14ac:dyDescent="0.3">
      <c r="B650"/>
      <c r="C650"/>
    </row>
    <row r="651" spans="2:3" x14ac:dyDescent="0.3">
      <c r="B651"/>
      <c r="C651"/>
    </row>
    <row r="652" spans="2:3" x14ac:dyDescent="0.3">
      <c r="B652"/>
      <c r="C652"/>
    </row>
    <row r="653" spans="2:3" x14ac:dyDescent="0.3">
      <c r="B653"/>
      <c r="C653"/>
    </row>
    <row r="654" spans="2:3" x14ac:dyDescent="0.3">
      <c r="B654"/>
      <c r="C654"/>
    </row>
    <row r="655" spans="2:3" x14ac:dyDescent="0.3">
      <c r="B655"/>
      <c r="C655"/>
    </row>
    <row r="656" spans="2:3" x14ac:dyDescent="0.3">
      <c r="B656"/>
      <c r="C656"/>
    </row>
    <row r="657" spans="2:3" x14ac:dyDescent="0.3">
      <c r="B657"/>
      <c r="C657"/>
    </row>
    <row r="658" spans="2:3" x14ac:dyDescent="0.3">
      <c r="B658"/>
      <c r="C658"/>
    </row>
    <row r="659" spans="2:3" x14ac:dyDescent="0.3">
      <c r="B659"/>
      <c r="C659"/>
    </row>
    <row r="660" spans="2:3" x14ac:dyDescent="0.3">
      <c r="B660"/>
      <c r="C660"/>
    </row>
    <row r="661" spans="2:3" x14ac:dyDescent="0.3">
      <c r="B661"/>
      <c r="C661"/>
    </row>
    <row r="662" spans="2:3" x14ac:dyDescent="0.3">
      <c r="B662"/>
      <c r="C662"/>
    </row>
    <row r="663" spans="2:3" x14ac:dyDescent="0.3">
      <c r="B663"/>
      <c r="C663"/>
    </row>
    <row r="664" spans="2:3" x14ac:dyDescent="0.3">
      <c r="B664"/>
      <c r="C664"/>
    </row>
    <row r="665" spans="2:3" x14ac:dyDescent="0.3">
      <c r="B665"/>
      <c r="C665"/>
    </row>
    <row r="666" spans="2:3" x14ac:dyDescent="0.3">
      <c r="B666"/>
      <c r="C666"/>
    </row>
    <row r="667" spans="2:3" x14ac:dyDescent="0.3">
      <c r="B667"/>
      <c r="C667"/>
    </row>
    <row r="668" spans="2:3" x14ac:dyDescent="0.3">
      <c r="B668"/>
      <c r="C668"/>
    </row>
    <row r="669" spans="2:3" x14ac:dyDescent="0.3">
      <c r="B669"/>
      <c r="C669"/>
    </row>
    <row r="670" spans="2:3" x14ac:dyDescent="0.3">
      <c r="B670"/>
      <c r="C670"/>
    </row>
    <row r="671" spans="2:3" x14ac:dyDescent="0.3">
      <c r="B671"/>
      <c r="C671"/>
    </row>
    <row r="672" spans="2:3" x14ac:dyDescent="0.3">
      <c r="B672"/>
      <c r="C672"/>
    </row>
    <row r="673" spans="2:3" x14ac:dyDescent="0.3">
      <c r="B673"/>
      <c r="C673"/>
    </row>
    <row r="674" spans="2:3" x14ac:dyDescent="0.3">
      <c r="B674"/>
      <c r="C674"/>
    </row>
    <row r="675" spans="2:3" x14ac:dyDescent="0.3">
      <c r="B675"/>
      <c r="C675"/>
    </row>
    <row r="676" spans="2:3" x14ac:dyDescent="0.3">
      <c r="B676"/>
      <c r="C676"/>
    </row>
    <row r="677" spans="2:3" x14ac:dyDescent="0.3">
      <c r="B677"/>
      <c r="C677"/>
    </row>
    <row r="678" spans="2:3" x14ac:dyDescent="0.3">
      <c r="B678"/>
      <c r="C678"/>
    </row>
    <row r="679" spans="2:3" x14ac:dyDescent="0.3">
      <c r="B679"/>
      <c r="C679"/>
    </row>
    <row r="680" spans="2:3" x14ac:dyDescent="0.3">
      <c r="B680"/>
      <c r="C680"/>
    </row>
    <row r="681" spans="2:3" x14ac:dyDescent="0.3">
      <c r="B681"/>
      <c r="C681"/>
    </row>
    <row r="682" spans="2:3" x14ac:dyDescent="0.3">
      <c r="B682"/>
      <c r="C682"/>
    </row>
    <row r="683" spans="2:3" x14ac:dyDescent="0.3">
      <c r="B683"/>
      <c r="C683"/>
    </row>
    <row r="684" spans="2:3" x14ac:dyDescent="0.3">
      <c r="B684"/>
      <c r="C684"/>
    </row>
    <row r="685" spans="2:3" x14ac:dyDescent="0.3">
      <c r="B685"/>
      <c r="C685"/>
    </row>
    <row r="686" spans="2:3" x14ac:dyDescent="0.3">
      <c r="B686"/>
      <c r="C686"/>
    </row>
    <row r="687" spans="2:3" x14ac:dyDescent="0.3">
      <c r="B687"/>
      <c r="C687"/>
    </row>
    <row r="688" spans="2:3" x14ac:dyDescent="0.3">
      <c r="B688"/>
      <c r="C688"/>
    </row>
    <row r="689" spans="2:3" x14ac:dyDescent="0.3">
      <c r="B689"/>
      <c r="C689"/>
    </row>
    <row r="690" spans="2:3" x14ac:dyDescent="0.3">
      <c r="B690"/>
      <c r="C690"/>
    </row>
    <row r="691" spans="2:3" x14ac:dyDescent="0.3">
      <c r="B691"/>
      <c r="C691"/>
    </row>
    <row r="692" spans="2:3" x14ac:dyDescent="0.3">
      <c r="B692"/>
      <c r="C692"/>
    </row>
    <row r="693" spans="2:3" x14ac:dyDescent="0.3">
      <c r="B693"/>
      <c r="C693"/>
    </row>
    <row r="694" spans="2:3" x14ac:dyDescent="0.3">
      <c r="B694"/>
      <c r="C694"/>
    </row>
    <row r="695" spans="2:3" x14ac:dyDescent="0.3">
      <c r="B695"/>
      <c r="C695"/>
    </row>
    <row r="696" spans="2:3" x14ac:dyDescent="0.3">
      <c r="B696"/>
      <c r="C696"/>
    </row>
    <row r="697" spans="2:3" x14ac:dyDescent="0.3">
      <c r="B697"/>
      <c r="C697"/>
    </row>
    <row r="698" spans="2:3" x14ac:dyDescent="0.3">
      <c r="B698"/>
      <c r="C698"/>
    </row>
    <row r="699" spans="2:3" x14ac:dyDescent="0.3">
      <c r="B699"/>
      <c r="C699"/>
    </row>
    <row r="700" spans="2:3" x14ac:dyDescent="0.3">
      <c r="B700"/>
      <c r="C700"/>
    </row>
    <row r="701" spans="2:3" x14ac:dyDescent="0.3">
      <c r="B701"/>
      <c r="C701"/>
    </row>
    <row r="702" spans="2:3" x14ac:dyDescent="0.3">
      <c r="B702"/>
      <c r="C702"/>
    </row>
    <row r="703" spans="2:3" x14ac:dyDescent="0.3">
      <c r="B703"/>
      <c r="C703"/>
    </row>
    <row r="704" spans="2:3" x14ac:dyDescent="0.3">
      <c r="B704"/>
      <c r="C704"/>
    </row>
    <row r="705" spans="2:3" x14ac:dyDescent="0.3">
      <c r="B705"/>
      <c r="C705"/>
    </row>
    <row r="706" spans="2:3" x14ac:dyDescent="0.3">
      <c r="B706"/>
      <c r="C706"/>
    </row>
    <row r="707" spans="2:3" x14ac:dyDescent="0.3">
      <c r="B707"/>
      <c r="C707"/>
    </row>
    <row r="708" spans="2:3" x14ac:dyDescent="0.3">
      <c r="B708"/>
      <c r="C708"/>
    </row>
    <row r="709" spans="2:3" x14ac:dyDescent="0.3">
      <c r="B709"/>
      <c r="C709"/>
    </row>
    <row r="710" spans="2:3" x14ac:dyDescent="0.3">
      <c r="B710"/>
      <c r="C710"/>
    </row>
    <row r="711" spans="2:3" x14ac:dyDescent="0.3">
      <c r="B711"/>
      <c r="C711"/>
    </row>
    <row r="712" spans="2:3" x14ac:dyDescent="0.3">
      <c r="B712"/>
      <c r="C712"/>
    </row>
    <row r="713" spans="2:3" x14ac:dyDescent="0.3">
      <c r="B713"/>
      <c r="C713"/>
    </row>
    <row r="714" spans="2:3" x14ac:dyDescent="0.3">
      <c r="B714"/>
      <c r="C714"/>
    </row>
    <row r="715" spans="2:3" x14ac:dyDescent="0.3">
      <c r="B715"/>
      <c r="C715"/>
    </row>
    <row r="716" spans="2:3" x14ac:dyDescent="0.3">
      <c r="B716"/>
      <c r="C716"/>
    </row>
    <row r="717" spans="2:3" x14ac:dyDescent="0.3">
      <c r="B717"/>
      <c r="C717"/>
    </row>
    <row r="718" spans="2:3" x14ac:dyDescent="0.3">
      <c r="B718"/>
      <c r="C718"/>
    </row>
    <row r="719" spans="2:3" x14ac:dyDescent="0.3">
      <c r="B719"/>
      <c r="C719"/>
    </row>
    <row r="720" spans="2:3" x14ac:dyDescent="0.3">
      <c r="B720"/>
      <c r="C720"/>
    </row>
    <row r="721" spans="2:3" x14ac:dyDescent="0.3">
      <c r="B721"/>
      <c r="C721"/>
    </row>
    <row r="722" spans="2:3" x14ac:dyDescent="0.3">
      <c r="B722"/>
      <c r="C722"/>
    </row>
    <row r="723" spans="2:3" x14ac:dyDescent="0.3">
      <c r="B723"/>
      <c r="C723"/>
    </row>
    <row r="724" spans="2:3" x14ac:dyDescent="0.3">
      <c r="B724"/>
      <c r="C724"/>
    </row>
    <row r="725" spans="2:3" x14ac:dyDescent="0.3">
      <c r="B725"/>
      <c r="C725"/>
    </row>
    <row r="726" spans="2:3" x14ac:dyDescent="0.3">
      <c r="B726"/>
      <c r="C726"/>
    </row>
    <row r="727" spans="2:3" x14ac:dyDescent="0.3">
      <c r="B727"/>
      <c r="C727"/>
    </row>
    <row r="728" spans="2:3" x14ac:dyDescent="0.3">
      <c r="B728"/>
      <c r="C728"/>
    </row>
    <row r="729" spans="2:3" x14ac:dyDescent="0.3">
      <c r="B729"/>
      <c r="C729"/>
    </row>
    <row r="730" spans="2:3" x14ac:dyDescent="0.3">
      <c r="B730"/>
      <c r="C730"/>
    </row>
    <row r="731" spans="2:3" x14ac:dyDescent="0.3">
      <c r="B731"/>
      <c r="C731"/>
    </row>
    <row r="732" spans="2:3" x14ac:dyDescent="0.3">
      <c r="B732"/>
      <c r="C732"/>
    </row>
    <row r="733" spans="2:3" x14ac:dyDescent="0.3">
      <c r="B733"/>
      <c r="C733"/>
    </row>
    <row r="734" spans="2:3" x14ac:dyDescent="0.3">
      <c r="B734"/>
      <c r="C734"/>
    </row>
    <row r="735" spans="2:3" x14ac:dyDescent="0.3">
      <c r="B735"/>
      <c r="C735"/>
    </row>
    <row r="736" spans="2:3" x14ac:dyDescent="0.3">
      <c r="B736"/>
      <c r="C736"/>
    </row>
    <row r="737" spans="2:3" x14ac:dyDescent="0.3">
      <c r="B737"/>
      <c r="C737"/>
    </row>
    <row r="738" spans="2:3" x14ac:dyDescent="0.3">
      <c r="B738"/>
      <c r="C738"/>
    </row>
    <row r="739" spans="2:3" x14ac:dyDescent="0.3">
      <c r="B739"/>
      <c r="C739"/>
    </row>
    <row r="740" spans="2:3" x14ac:dyDescent="0.3">
      <c r="B740"/>
      <c r="C740"/>
    </row>
    <row r="741" spans="2:3" x14ac:dyDescent="0.3">
      <c r="B741"/>
      <c r="C741"/>
    </row>
    <row r="742" spans="2:3" x14ac:dyDescent="0.3">
      <c r="B742"/>
      <c r="C742"/>
    </row>
    <row r="743" spans="2:3" x14ac:dyDescent="0.3">
      <c r="B743"/>
      <c r="C743"/>
    </row>
    <row r="744" spans="2:3" x14ac:dyDescent="0.3">
      <c r="B744"/>
      <c r="C744"/>
    </row>
    <row r="745" spans="2:3" x14ac:dyDescent="0.3">
      <c r="B745"/>
      <c r="C745"/>
    </row>
    <row r="746" spans="2:3" x14ac:dyDescent="0.3">
      <c r="B746"/>
      <c r="C746"/>
    </row>
    <row r="747" spans="2:3" x14ac:dyDescent="0.3">
      <c r="B747"/>
      <c r="C747"/>
    </row>
    <row r="748" spans="2:3" x14ac:dyDescent="0.3">
      <c r="B748"/>
      <c r="C748"/>
    </row>
    <row r="749" spans="2:3" x14ac:dyDescent="0.3">
      <c r="B749"/>
      <c r="C749"/>
    </row>
    <row r="750" spans="2:3" x14ac:dyDescent="0.3">
      <c r="B750"/>
      <c r="C750"/>
    </row>
    <row r="751" spans="2:3" x14ac:dyDescent="0.3">
      <c r="B751"/>
      <c r="C751"/>
    </row>
    <row r="752" spans="2:3" x14ac:dyDescent="0.3">
      <c r="B752"/>
      <c r="C752"/>
    </row>
    <row r="753" spans="2:3" x14ac:dyDescent="0.3">
      <c r="B753"/>
      <c r="C753"/>
    </row>
    <row r="754" spans="2:3" x14ac:dyDescent="0.3">
      <c r="B754"/>
      <c r="C754"/>
    </row>
    <row r="755" spans="2:3" x14ac:dyDescent="0.3">
      <c r="B755"/>
      <c r="C755"/>
    </row>
    <row r="756" spans="2:3" x14ac:dyDescent="0.3">
      <c r="B756"/>
      <c r="C756"/>
    </row>
    <row r="757" spans="2:3" x14ac:dyDescent="0.3">
      <c r="B757"/>
      <c r="C757"/>
    </row>
    <row r="758" spans="2:3" x14ac:dyDescent="0.3">
      <c r="B758"/>
      <c r="C758"/>
    </row>
    <row r="759" spans="2:3" x14ac:dyDescent="0.3">
      <c r="B759"/>
      <c r="C759"/>
    </row>
    <row r="760" spans="2:3" x14ac:dyDescent="0.3">
      <c r="B760"/>
      <c r="C760"/>
    </row>
    <row r="761" spans="2:3" x14ac:dyDescent="0.3">
      <c r="B761"/>
      <c r="C761"/>
    </row>
    <row r="762" spans="2:3" x14ac:dyDescent="0.3">
      <c r="B762"/>
      <c r="C762"/>
    </row>
    <row r="763" spans="2:3" x14ac:dyDescent="0.3">
      <c r="B763"/>
      <c r="C763"/>
    </row>
    <row r="764" spans="2:3" x14ac:dyDescent="0.3">
      <c r="B764"/>
      <c r="C764"/>
    </row>
    <row r="765" spans="2:3" x14ac:dyDescent="0.3">
      <c r="B765"/>
      <c r="C765"/>
    </row>
    <row r="766" spans="2:3" x14ac:dyDescent="0.3">
      <c r="B766"/>
      <c r="C766"/>
    </row>
    <row r="767" spans="2:3" x14ac:dyDescent="0.3">
      <c r="B767"/>
      <c r="C767"/>
    </row>
    <row r="768" spans="2:3" x14ac:dyDescent="0.3">
      <c r="B768"/>
      <c r="C768"/>
    </row>
    <row r="769" spans="2:3" x14ac:dyDescent="0.3">
      <c r="B769"/>
      <c r="C769"/>
    </row>
    <row r="770" spans="2:3" x14ac:dyDescent="0.3">
      <c r="B770"/>
      <c r="C770"/>
    </row>
    <row r="771" spans="2:3" x14ac:dyDescent="0.3">
      <c r="B771"/>
      <c r="C771"/>
    </row>
    <row r="772" spans="2:3" x14ac:dyDescent="0.3">
      <c r="B772"/>
      <c r="C772"/>
    </row>
    <row r="773" spans="2:3" x14ac:dyDescent="0.3">
      <c r="B773"/>
      <c r="C773"/>
    </row>
    <row r="774" spans="2:3" x14ac:dyDescent="0.3">
      <c r="B774"/>
      <c r="C774"/>
    </row>
    <row r="775" spans="2:3" x14ac:dyDescent="0.3">
      <c r="B775"/>
      <c r="C775"/>
    </row>
    <row r="776" spans="2:3" x14ac:dyDescent="0.3">
      <c r="B776"/>
      <c r="C776"/>
    </row>
    <row r="777" spans="2:3" x14ac:dyDescent="0.3">
      <c r="B777"/>
      <c r="C777"/>
    </row>
    <row r="778" spans="2:3" x14ac:dyDescent="0.3">
      <c r="B778"/>
      <c r="C778"/>
    </row>
    <row r="779" spans="2:3" x14ac:dyDescent="0.3">
      <c r="B779"/>
      <c r="C779"/>
    </row>
    <row r="780" spans="2:3" x14ac:dyDescent="0.3">
      <c r="B780"/>
      <c r="C780"/>
    </row>
    <row r="781" spans="2:3" x14ac:dyDescent="0.3">
      <c r="B781"/>
      <c r="C781"/>
    </row>
    <row r="782" spans="2:3" x14ac:dyDescent="0.3">
      <c r="B782"/>
      <c r="C782"/>
    </row>
    <row r="783" spans="2:3" x14ac:dyDescent="0.3">
      <c r="B783"/>
      <c r="C783"/>
    </row>
    <row r="784" spans="2:3" x14ac:dyDescent="0.3">
      <c r="B784"/>
      <c r="C784"/>
    </row>
    <row r="785" spans="2:3" x14ac:dyDescent="0.3">
      <c r="B785"/>
      <c r="C785"/>
    </row>
    <row r="786" spans="2:3" x14ac:dyDescent="0.3">
      <c r="B786"/>
      <c r="C786"/>
    </row>
    <row r="787" spans="2:3" x14ac:dyDescent="0.3">
      <c r="B787"/>
      <c r="C787"/>
    </row>
    <row r="788" spans="2:3" x14ac:dyDescent="0.3">
      <c r="B788"/>
      <c r="C788"/>
    </row>
    <row r="789" spans="2:3" x14ac:dyDescent="0.3">
      <c r="B789"/>
      <c r="C789"/>
    </row>
    <row r="790" spans="2:3" x14ac:dyDescent="0.3">
      <c r="B790"/>
      <c r="C790"/>
    </row>
    <row r="791" spans="2:3" x14ac:dyDescent="0.3">
      <c r="B791"/>
      <c r="C791"/>
    </row>
    <row r="792" spans="2:3" x14ac:dyDescent="0.3">
      <c r="B792"/>
      <c r="C792"/>
    </row>
    <row r="793" spans="2:3" x14ac:dyDescent="0.3">
      <c r="B793"/>
      <c r="C793"/>
    </row>
    <row r="794" spans="2:3" x14ac:dyDescent="0.3">
      <c r="B794"/>
      <c r="C794"/>
    </row>
    <row r="795" spans="2:3" x14ac:dyDescent="0.3">
      <c r="B795"/>
      <c r="C795"/>
    </row>
    <row r="796" spans="2:3" x14ac:dyDescent="0.3">
      <c r="B796"/>
      <c r="C796"/>
    </row>
    <row r="797" spans="2:3" x14ac:dyDescent="0.3">
      <c r="B797"/>
      <c r="C797"/>
    </row>
    <row r="798" spans="2:3" x14ac:dyDescent="0.3">
      <c r="B798"/>
      <c r="C798"/>
    </row>
    <row r="799" spans="2:3" x14ac:dyDescent="0.3">
      <c r="B799"/>
      <c r="C799"/>
    </row>
    <row r="800" spans="2:3" x14ac:dyDescent="0.3">
      <c r="B800"/>
      <c r="C800"/>
    </row>
    <row r="801" spans="2:3" x14ac:dyDescent="0.3">
      <c r="B801"/>
      <c r="C801"/>
    </row>
    <row r="802" spans="2:3" x14ac:dyDescent="0.3">
      <c r="B802"/>
      <c r="C802"/>
    </row>
    <row r="803" spans="2:3" x14ac:dyDescent="0.3">
      <c r="B803"/>
      <c r="C803"/>
    </row>
    <row r="804" spans="2:3" x14ac:dyDescent="0.3">
      <c r="B804"/>
      <c r="C804"/>
    </row>
    <row r="805" spans="2:3" x14ac:dyDescent="0.3">
      <c r="B805"/>
      <c r="C805"/>
    </row>
    <row r="806" spans="2:3" x14ac:dyDescent="0.3">
      <c r="B806"/>
      <c r="C806"/>
    </row>
    <row r="807" spans="2:3" x14ac:dyDescent="0.3">
      <c r="B807"/>
      <c r="C807"/>
    </row>
    <row r="808" spans="2:3" x14ac:dyDescent="0.3">
      <c r="B808"/>
      <c r="C808"/>
    </row>
    <row r="809" spans="2:3" x14ac:dyDescent="0.3">
      <c r="B809"/>
      <c r="C809"/>
    </row>
    <row r="810" spans="2:3" x14ac:dyDescent="0.3">
      <c r="B810"/>
      <c r="C810"/>
    </row>
    <row r="811" spans="2:3" x14ac:dyDescent="0.3">
      <c r="B811"/>
      <c r="C811"/>
    </row>
    <row r="812" spans="2:3" x14ac:dyDescent="0.3">
      <c r="B812"/>
      <c r="C812"/>
    </row>
    <row r="813" spans="2:3" x14ac:dyDescent="0.3">
      <c r="B813"/>
      <c r="C813"/>
    </row>
    <row r="814" spans="2:3" x14ac:dyDescent="0.3">
      <c r="B814"/>
      <c r="C814"/>
    </row>
    <row r="815" spans="2:3" x14ac:dyDescent="0.3">
      <c r="B815"/>
      <c r="C815"/>
    </row>
    <row r="816" spans="2:3" x14ac:dyDescent="0.3">
      <c r="B816"/>
      <c r="C816"/>
    </row>
    <row r="817" spans="2:3" x14ac:dyDescent="0.3">
      <c r="B817"/>
      <c r="C817"/>
    </row>
    <row r="818" spans="2:3" x14ac:dyDescent="0.3">
      <c r="B818"/>
      <c r="C818"/>
    </row>
    <row r="819" spans="2:3" x14ac:dyDescent="0.3">
      <c r="B819"/>
      <c r="C819"/>
    </row>
    <row r="820" spans="2:3" x14ac:dyDescent="0.3">
      <c r="B820"/>
      <c r="C820"/>
    </row>
    <row r="821" spans="2:3" x14ac:dyDescent="0.3">
      <c r="B821"/>
      <c r="C821"/>
    </row>
    <row r="822" spans="2:3" x14ac:dyDescent="0.3">
      <c r="B822"/>
      <c r="C822"/>
    </row>
    <row r="823" spans="2:3" x14ac:dyDescent="0.3">
      <c r="B823"/>
      <c r="C823"/>
    </row>
    <row r="824" spans="2:3" x14ac:dyDescent="0.3">
      <c r="B824"/>
      <c r="C824"/>
    </row>
    <row r="825" spans="2:3" x14ac:dyDescent="0.3">
      <c r="B825"/>
      <c r="C825"/>
    </row>
    <row r="826" spans="2:3" x14ac:dyDescent="0.3">
      <c r="B826"/>
      <c r="C826"/>
    </row>
    <row r="827" spans="2:3" x14ac:dyDescent="0.3">
      <c r="B827"/>
      <c r="C827"/>
    </row>
    <row r="828" spans="2:3" x14ac:dyDescent="0.3">
      <c r="B828"/>
      <c r="C828"/>
    </row>
    <row r="829" spans="2:3" x14ac:dyDescent="0.3">
      <c r="B829"/>
      <c r="C829"/>
    </row>
    <row r="830" spans="2:3" x14ac:dyDescent="0.3">
      <c r="B830"/>
      <c r="C830"/>
    </row>
    <row r="831" spans="2:3" x14ac:dyDescent="0.3">
      <c r="B831"/>
      <c r="C831"/>
    </row>
    <row r="832" spans="2:3" x14ac:dyDescent="0.3">
      <c r="B832"/>
      <c r="C832"/>
    </row>
    <row r="833" spans="2:3" x14ac:dyDescent="0.3">
      <c r="B833"/>
      <c r="C833"/>
    </row>
    <row r="834" spans="2:3" x14ac:dyDescent="0.3">
      <c r="B834"/>
      <c r="C834"/>
    </row>
    <row r="835" spans="2:3" x14ac:dyDescent="0.3">
      <c r="B835"/>
      <c r="C835"/>
    </row>
    <row r="836" spans="2:3" x14ac:dyDescent="0.3">
      <c r="B836"/>
      <c r="C836"/>
    </row>
    <row r="837" spans="2:3" x14ac:dyDescent="0.3">
      <c r="B837"/>
      <c r="C837"/>
    </row>
    <row r="838" spans="2:3" x14ac:dyDescent="0.3">
      <c r="B838"/>
      <c r="C838"/>
    </row>
    <row r="839" spans="2:3" x14ac:dyDescent="0.3">
      <c r="B839"/>
      <c r="C839"/>
    </row>
    <row r="840" spans="2:3" x14ac:dyDescent="0.3">
      <c r="B840"/>
      <c r="C840"/>
    </row>
    <row r="841" spans="2:3" x14ac:dyDescent="0.3">
      <c r="B841"/>
      <c r="C841"/>
    </row>
    <row r="842" spans="2:3" x14ac:dyDescent="0.3">
      <c r="B842"/>
      <c r="C842"/>
    </row>
    <row r="843" spans="2:3" x14ac:dyDescent="0.3">
      <c r="B843"/>
      <c r="C843"/>
    </row>
    <row r="844" spans="2:3" x14ac:dyDescent="0.3">
      <c r="B844"/>
      <c r="C844"/>
    </row>
    <row r="845" spans="2:3" x14ac:dyDescent="0.3">
      <c r="B845"/>
      <c r="C845"/>
    </row>
  </sheetData>
  <mergeCells count="1">
    <mergeCell ref="C32:G32"/>
  </mergeCells>
  <phoneticPr fontId="0" type="noConversion"/>
  <pageMargins left="0.74803149606299213" right="0.39370078740157483" top="0.98425196850393704" bottom="0.98425196850393704" header="0.51181102362204722" footer="0.51181102362204722"/>
  <pageSetup orientation="portrait" horizontalDpi="300" verticalDpi="300" r:id="rId1"/>
  <headerFooter alignWithMargins="0">
    <oddHeader>&amp;LTable 1.  Summary of defoliators in 25 Permanent Sample Plots in the West Nelson Forest Region, 2001.</oddHeader>
    <oddFooter>&amp;L&amp;"Franklin Gothic Book,Regular"&amp;8JCH Forest Pest Management&amp;C&amp;"Franklin Gothic Book,Regular"&amp;8&amp;D&amp;R&amp;"Franklin Gothic Book,Regular"&amp;8 3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5" tint="0.59999389629810485"/>
  </sheetPr>
  <dimension ref="A1:U846"/>
  <sheetViews>
    <sheetView zoomScale="75" workbookViewId="0">
      <selection activeCell="Y28" sqref="Y28"/>
    </sheetView>
  </sheetViews>
  <sheetFormatPr defaultColWidth="8.765625" defaultRowHeight="12.45" x14ac:dyDescent="0.3"/>
  <cols>
    <col min="2" max="2" width="4.69140625" style="1" customWidth="1"/>
    <col min="3" max="3" width="15.3046875" style="3" customWidth="1"/>
    <col min="4" max="4" width="5.3046875" customWidth="1"/>
    <col min="5" max="5" width="3.4609375" customWidth="1"/>
    <col min="6" max="6" width="4.4609375" customWidth="1"/>
    <col min="7" max="7" width="4.07421875" style="1" customWidth="1"/>
    <col min="8" max="8" width="3.4609375" customWidth="1"/>
    <col min="9" max="9" width="4.3046875" customWidth="1"/>
    <col min="10" max="10" width="3.4609375" customWidth="1"/>
    <col min="11" max="11" width="3.69140625" customWidth="1"/>
    <col min="12" max="12" width="3.69140625" style="18" customWidth="1"/>
    <col min="13" max="13" width="3.69140625" style="16" customWidth="1"/>
    <col min="14" max="14" width="4.69140625" style="16" customWidth="1"/>
    <col min="15" max="15" width="5.07421875" customWidth="1"/>
    <col min="16" max="16" width="3.69140625" customWidth="1"/>
    <col min="17" max="17" width="4.69140625" customWidth="1"/>
    <col min="18" max="18" width="4.3046875" customWidth="1"/>
    <col min="19" max="19" width="5" customWidth="1"/>
  </cols>
  <sheetData>
    <row r="1" spans="1:21" ht="20.149999999999999" x14ac:dyDescent="0.4">
      <c r="B1" s="117" t="s">
        <v>79</v>
      </c>
      <c r="K1" s="18"/>
      <c r="L1" s="16"/>
      <c r="M1"/>
      <c r="N1"/>
    </row>
    <row r="2" spans="1:21" s="3" customFormat="1" ht="28.2" customHeight="1" x14ac:dyDescent="0.4">
      <c r="D2" s="12"/>
      <c r="E2" s="13"/>
      <c r="F2" s="14"/>
      <c r="G2" s="11"/>
      <c r="H2" s="13"/>
      <c r="I2" s="13"/>
      <c r="J2" s="13"/>
      <c r="K2" s="11"/>
      <c r="L2" s="15"/>
      <c r="M2" s="15"/>
      <c r="N2" s="15"/>
      <c r="O2" s="13"/>
      <c r="P2" s="13"/>
      <c r="Q2" s="13"/>
      <c r="R2" s="13"/>
      <c r="S2" s="14"/>
    </row>
    <row r="3" spans="1:21" s="2" customFormat="1" ht="172.2" customHeight="1" x14ac:dyDescent="0.3">
      <c r="A3" s="2" t="s">
        <v>98</v>
      </c>
      <c r="B3" s="20" t="s">
        <v>0</v>
      </c>
      <c r="C3" s="20" t="s">
        <v>25</v>
      </c>
      <c r="D3" s="21" t="s">
        <v>5</v>
      </c>
      <c r="E3" s="21" t="s">
        <v>6</v>
      </c>
      <c r="F3" s="21" t="s">
        <v>1</v>
      </c>
      <c r="G3" s="21" t="s">
        <v>7</v>
      </c>
      <c r="H3" s="21" t="s">
        <v>4</v>
      </c>
      <c r="I3" s="21" t="s">
        <v>3</v>
      </c>
      <c r="J3" s="22" t="s">
        <v>2</v>
      </c>
      <c r="K3" s="22" t="s">
        <v>49</v>
      </c>
      <c r="L3" s="21" t="s">
        <v>17</v>
      </c>
      <c r="M3" s="23" t="s">
        <v>19</v>
      </c>
      <c r="N3" s="21" t="s">
        <v>18</v>
      </c>
      <c r="O3" s="21" t="s">
        <v>12</v>
      </c>
      <c r="P3" s="21" t="s">
        <v>51</v>
      </c>
      <c r="Q3" s="21" t="s">
        <v>22</v>
      </c>
      <c r="R3" s="21" t="s">
        <v>11</v>
      </c>
      <c r="S3" s="21" t="s">
        <v>13</v>
      </c>
    </row>
    <row r="4" spans="1:21" x14ac:dyDescent="0.3">
      <c r="A4" s="78" t="s">
        <v>100</v>
      </c>
      <c r="B4" s="24">
        <v>69</v>
      </c>
      <c r="C4" s="24" t="s">
        <v>33</v>
      </c>
      <c r="D4" s="24">
        <v>1</v>
      </c>
      <c r="E4" s="24">
        <v>0</v>
      </c>
      <c r="F4" s="24">
        <v>32</v>
      </c>
      <c r="G4" s="24">
        <v>0</v>
      </c>
      <c r="H4" s="24">
        <v>0</v>
      </c>
      <c r="I4" s="24">
        <v>0</v>
      </c>
      <c r="J4" s="25">
        <v>0</v>
      </c>
      <c r="K4" s="25">
        <v>0</v>
      </c>
      <c r="L4" s="26">
        <v>0</v>
      </c>
      <c r="M4" s="27">
        <v>0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8" t="s">
        <v>15</v>
      </c>
    </row>
    <row r="5" spans="1:21" x14ac:dyDescent="0.3">
      <c r="A5" s="78" t="s">
        <v>100</v>
      </c>
      <c r="B5" s="24">
        <v>72</v>
      </c>
      <c r="C5" s="24" t="s">
        <v>34</v>
      </c>
      <c r="D5" s="24">
        <v>0</v>
      </c>
      <c r="E5" s="24">
        <v>2</v>
      </c>
      <c r="F5" s="24">
        <v>0</v>
      </c>
      <c r="G5" s="24">
        <v>0</v>
      </c>
      <c r="H5" s="24">
        <v>0</v>
      </c>
      <c r="I5" s="24">
        <v>0</v>
      </c>
      <c r="J5" s="25">
        <v>0</v>
      </c>
      <c r="K5" s="25">
        <v>0</v>
      </c>
      <c r="L5" s="26">
        <v>0</v>
      </c>
      <c r="M5" s="27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 t="s">
        <v>14</v>
      </c>
    </row>
    <row r="6" spans="1:21" x14ac:dyDescent="0.3">
      <c r="A6" s="78" t="s">
        <v>100</v>
      </c>
      <c r="B6" s="24">
        <v>86</v>
      </c>
      <c r="C6" s="24" t="s">
        <v>35</v>
      </c>
      <c r="D6" s="24">
        <v>1</v>
      </c>
      <c r="E6" s="24">
        <v>2</v>
      </c>
      <c r="F6" s="24">
        <v>26</v>
      </c>
      <c r="G6" s="24">
        <v>0</v>
      </c>
      <c r="H6" s="24">
        <v>0</v>
      </c>
      <c r="I6" s="24">
        <v>1</v>
      </c>
      <c r="J6" s="25">
        <v>0</v>
      </c>
      <c r="K6" s="25">
        <v>0</v>
      </c>
      <c r="L6" s="26">
        <v>0</v>
      </c>
      <c r="M6" s="27">
        <v>0</v>
      </c>
      <c r="N6" s="24">
        <v>0</v>
      </c>
      <c r="O6" s="24">
        <v>0</v>
      </c>
      <c r="P6" s="24">
        <v>0</v>
      </c>
      <c r="Q6" s="24">
        <v>0</v>
      </c>
      <c r="R6" s="24">
        <v>1</v>
      </c>
      <c r="S6" s="28" t="s">
        <v>15</v>
      </c>
    </row>
    <row r="7" spans="1:21" x14ac:dyDescent="0.3">
      <c r="A7" s="78" t="s">
        <v>100</v>
      </c>
      <c r="B7" s="24">
        <v>87</v>
      </c>
      <c r="C7" s="24" t="s">
        <v>36</v>
      </c>
      <c r="D7" s="24">
        <v>1</v>
      </c>
      <c r="E7" s="24">
        <v>3</v>
      </c>
      <c r="F7" s="24">
        <v>8</v>
      </c>
      <c r="G7" s="24">
        <v>0</v>
      </c>
      <c r="H7" s="24">
        <v>0</v>
      </c>
      <c r="I7" s="24">
        <v>0</v>
      </c>
      <c r="J7" s="25">
        <v>0</v>
      </c>
      <c r="K7" s="25">
        <v>0</v>
      </c>
      <c r="L7" s="26">
        <v>0</v>
      </c>
      <c r="M7" s="27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 t="s">
        <v>14</v>
      </c>
    </row>
    <row r="8" spans="1:21" x14ac:dyDescent="0.3">
      <c r="A8" s="78" t="s">
        <v>100</v>
      </c>
      <c r="B8" s="24">
        <v>73</v>
      </c>
      <c r="C8" s="24" t="s">
        <v>50</v>
      </c>
      <c r="D8" s="24">
        <v>1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5">
        <v>0</v>
      </c>
      <c r="K8" s="25">
        <v>0</v>
      </c>
      <c r="L8" s="26">
        <v>0</v>
      </c>
      <c r="M8" s="27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 t="s">
        <v>14</v>
      </c>
    </row>
    <row r="9" spans="1:21" x14ac:dyDescent="0.3">
      <c r="A9" s="78" t="s">
        <v>100</v>
      </c>
      <c r="B9" s="24">
        <v>74</v>
      </c>
      <c r="C9" s="24" t="s">
        <v>37</v>
      </c>
      <c r="D9" s="24">
        <v>0</v>
      </c>
      <c r="E9" s="50">
        <v>0</v>
      </c>
      <c r="F9" s="24">
        <v>32</v>
      </c>
      <c r="G9" s="24">
        <v>0</v>
      </c>
      <c r="H9" s="24">
        <v>0</v>
      </c>
      <c r="I9" s="24">
        <v>0</v>
      </c>
      <c r="J9" s="25">
        <v>0</v>
      </c>
      <c r="K9" s="25">
        <v>0</v>
      </c>
      <c r="L9" s="26">
        <v>0</v>
      </c>
      <c r="M9" s="27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6" t="s">
        <v>14</v>
      </c>
      <c r="U9" s="4"/>
    </row>
    <row r="10" spans="1:21" x14ac:dyDescent="0.3">
      <c r="A10" s="78" t="s">
        <v>100</v>
      </c>
      <c r="B10" s="24">
        <v>75</v>
      </c>
      <c r="C10" s="24" t="s">
        <v>38</v>
      </c>
      <c r="D10" s="24">
        <v>1</v>
      </c>
      <c r="E10" s="24">
        <v>0</v>
      </c>
      <c r="F10" s="24">
        <v>10</v>
      </c>
      <c r="G10" s="24">
        <v>0</v>
      </c>
      <c r="H10" s="24">
        <v>0</v>
      </c>
      <c r="I10" s="24">
        <v>0</v>
      </c>
      <c r="J10" s="25">
        <v>0</v>
      </c>
      <c r="K10" s="25">
        <v>0</v>
      </c>
      <c r="L10" s="26">
        <v>0</v>
      </c>
      <c r="M10" s="27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6" t="s">
        <v>14</v>
      </c>
    </row>
    <row r="11" spans="1:21" x14ac:dyDescent="0.3">
      <c r="A11" s="78" t="s">
        <v>100</v>
      </c>
      <c r="B11" s="24">
        <v>76</v>
      </c>
      <c r="C11" s="24" t="s">
        <v>39</v>
      </c>
      <c r="D11" s="24">
        <v>0</v>
      </c>
      <c r="E11" s="24">
        <v>0</v>
      </c>
      <c r="F11" s="24">
        <v>1</v>
      </c>
      <c r="G11" s="24">
        <v>0</v>
      </c>
      <c r="H11" s="24">
        <v>0</v>
      </c>
      <c r="I11" s="24">
        <v>0</v>
      </c>
      <c r="J11" s="25">
        <v>0</v>
      </c>
      <c r="K11" s="25">
        <v>0</v>
      </c>
      <c r="L11" s="26">
        <v>0</v>
      </c>
      <c r="M11" s="27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6" t="s">
        <v>14</v>
      </c>
    </row>
    <row r="12" spans="1:21" x14ac:dyDescent="0.3">
      <c r="A12" s="78" t="s">
        <v>100</v>
      </c>
      <c r="B12" s="24">
        <v>78</v>
      </c>
      <c r="C12" s="24" t="s">
        <v>40</v>
      </c>
      <c r="D12" s="24">
        <v>0</v>
      </c>
      <c r="E12" s="24">
        <v>0</v>
      </c>
      <c r="F12" s="24">
        <v>2</v>
      </c>
      <c r="G12" s="24">
        <v>0</v>
      </c>
      <c r="H12" s="24">
        <v>0</v>
      </c>
      <c r="I12" s="24">
        <v>0</v>
      </c>
      <c r="J12" s="25">
        <v>0</v>
      </c>
      <c r="K12" s="25">
        <v>0</v>
      </c>
      <c r="L12" s="26">
        <v>0</v>
      </c>
      <c r="M12" s="27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6" t="s">
        <v>14</v>
      </c>
    </row>
    <row r="13" spans="1:21" x14ac:dyDescent="0.3">
      <c r="A13" s="78" t="s">
        <v>100</v>
      </c>
      <c r="B13" s="24">
        <v>84</v>
      </c>
      <c r="C13" s="24" t="s">
        <v>41</v>
      </c>
      <c r="D13" s="24">
        <v>3</v>
      </c>
      <c r="E13" s="24">
        <v>0</v>
      </c>
      <c r="F13" s="24">
        <v>13</v>
      </c>
      <c r="G13" s="24">
        <v>0</v>
      </c>
      <c r="H13" s="24">
        <v>0</v>
      </c>
      <c r="I13" s="24">
        <v>0</v>
      </c>
      <c r="J13" s="25">
        <v>0</v>
      </c>
      <c r="K13" s="25">
        <v>0</v>
      </c>
      <c r="L13" s="26">
        <v>0</v>
      </c>
      <c r="M13" s="27">
        <v>0</v>
      </c>
      <c r="N13" s="24">
        <v>0</v>
      </c>
      <c r="O13" s="24">
        <v>2</v>
      </c>
      <c r="P13" s="24">
        <v>0</v>
      </c>
      <c r="Q13" s="24">
        <v>0</v>
      </c>
      <c r="R13" s="24">
        <v>0</v>
      </c>
      <c r="S13" s="24" t="s">
        <v>14</v>
      </c>
    </row>
    <row r="14" spans="1:21" x14ac:dyDescent="0.3">
      <c r="A14" s="78" t="s">
        <v>100</v>
      </c>
      <c r="B14" s="24">
        <v>85</v>
      </c>
      <c r="C14" s="24" t="s">
        <v>48</v>
      </c>
      <c r="D14" s="24">
        <v>0</v>
      </c>
      <c r="E14" s="24">
        <v>0</v>
      </c>
      <c r="F14" s="24">
        <v>3</v>
      </c>
      <c r="G14" s="24">
        <v>0</v>
      </c>
      <c r="H14" s="24">
        <v>0</v>
      </c>
      <c r="I14" s="24">
        <v>0</v>
      </c>
      <c r="J14" s="25">
        <v>0</v>
      </c>
      <c r="K14" s="25">
        <v>0</v>
      </c>
      <c r="L14" s="26">
        <v>0</v>
      </c>
      <c r="M14" s="27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 t="s">
        <v>14</v>
      </c>
    </row>
    <row r="15" spans="1:21" x14ac:dyDescent="0.3">
      <c r="A15" s="78" t="s">
        <v>99</v>
      </c>
      <c r="B15" s="24">
        <v>30</v>
      </c>
      <c r="C15" s="24" t="s">
        <v>42</v>
      </c>
      <c r="D15" s="24">
        <v>3</v>
      </c>
      <c r="E15" s="24">
        <v>0</v>
      </c>
      <c r="F15" s="24">
        <v>51</v>
      </c>
      <c r="G15" s="24">
        <v>1</v>
      </c>
      <c r="H15" s="24">
        <v>0</v>
      </c>
      <c r="I15" s="24">
        <v>0</v>
      </c>
      <c r="J15" s="25">
        <v>0</v>
      </c>
      <c r="K15" s="25">
        <v>1</v>
      </c>
      <c r="L15" s="26">
        <v>0</v>
      </c>
      <c r="M15" s="27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 t="s">
        <v>14</v>
      </c>
    </row>
    <row r="16" spans="1:21" x14ac:dyDescent="0.3">
      <c r="A16" s="78" t="s">
        <v>99</v>
      </c>
      <c r="B16" s="24">
        <v>38</v>
      </c>
      <c r="C16" s="24" t="s">
        <v>43</v>
      </c>
      <c r="D16" s="24">
        <v>0</v>
      </c>
      <c r="E16" s="24">
        <v>0</v>
      </c>
      <c r="F16" s="24">
        <v>1</v>
      </c>
      <c r="G16" s="24">
        <v>0</v>
      </c>
      <c r="H16" s="24">
        <v>0</v>
      </c>
      <c r="I16" s="24">
        <v>2</v>
      </c>
      <c r="J16" s="25">
        <v>0</v>
      </c>
      <c r="K16" s="25">
        <v>0</v>
      </c>
      <c r="L16" s="26">
        <v>0</v>
      </c>
      <c r="M16" s="27">
        <v>0</v>
      </c>
      <c r="N16" s="24">
        <v>0</v>
      </c>
      <c r="O16" s="24">
        <v>1</v>
      </c>
      <c r="P16" s="24">
        <v>0</v>
      </c>
      <c r="Q16" s="24">
        <v>0</v>
      </c>
      <c r="R16" s="24">
        <v>0</v>
      </c>
      <c r="S16" s="24" t="s">
        <v>14</v>
      </c>
    </row>
    <row r="17" spans="1:19" x14ac:dyDescent="0.3">
      <c r="A17" s="78" t="s">
        <v>99</v>
      </c>
      <c r="B17" s="24">
        <v>58</v>
      </c>
      <c r="C17" s="24" t="s">
        <v>44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1</v>
      </c>
      <c r="J17" s="25">
        <v>0</v>
      </c>
      <c r="K17" s="25">
        <v>0</v>
      </c>
      <c r="L17" s="26">
        <v>0</v>
      </c>
      <c r="M17" s="27">
        <v>0</v>
      </c>
      <c r="N17" s="26">
        <v>1</v>
      </c>
      <c r="O17" s="24">
        <v>0</v>
      </c>
      <c r="P17" s="24">
        <v>0</v>
      </c>
      <c r="Q17" s="24">
        <v>0</v>
      </c>
      <c r="R17" s="24">
        <v>0</v>
      </c>
      <c r="S17" s="24" t="s">
        <v>14</v>
      </c>
    </row>
    <row r="18" spans="1:19" x14ac:dyDescent="0.3">
      <c r="A18" s="78" t="s">
        <v>99</v>
      </c>
      <c r="B18" s="24">
        <v>61</v>
      </c>
      <c r="C18" s="24" t="s">
        <v>45</v>
      </c>
      <c r="D18" s="24">
        <v>0</v>
      </c>
      <c r="E18" s="24">
        <v>0</v>
      </c>
      <c r="F18" s="24">
        <v>33</v>
      </c>
      <c r="G18" s="24">
        <v>0</v>
      </c>
      <c r="H18" s="24">
        <v>0</v>
      </c>
      <c r="I18" s="24">
        <v>0</v>
      </c>
      <c r="J18" s="25">
        <v>0</v>
      </c>
      <c r="K18" s="25">
        <v>0</v>
      </c>
      <c r="L18" s="26">
        <v>0</v>
      </c>
      <c r="M18" s="27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8" t="s">
        <v>15</v>
      </c>
    </row>
    <row r="19" spans="1:19" x14ac:dyDescent="0.3">
      <c r="A19" s="78" t="s">
        <v>99</v>
      </c>
      <c r="B19" s="24">
        <v>62</v>
      </c>
      <c r="C19" s="24" t="s">
        <v>46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4</v>
      </c>
      <c r="J19" s="25">
        <v>0</v>
      </c>
      <c r="K19" s="25">
        <v>0</v>
      </c>
      <c r="L19" s="26">
        <v>0</v>
      </c>
      <c r="M19" s="27">
        <v>0</v>
      </c>
      <c r="N19" s="26">
        <v>4</v>
      </c>
      <c r="O19" s="24">
        <v>1</v>
      </c>
      <c r="P19" s="24">
        <v>1</v>
      </c>
      <c r="Q19" s="24">
        <v>0</v>
      </c>
      <c r="R19" s="24">
        <v>0</v>
      </c>
      <c r="S19" s="24" t="s">
        <v>14</v>
      </c>
    </row>
    <row r="20" spans="1:19" x14ac:dyDescent="0.3">
      <c r="A20" s="78" t="s">
        <v>99</v>
      </c>
      <c r="B20" s="24">
        <v>65</v>
      </c>
      <c r="C20" s="24" t="s">
        <v>47</v>
      </c>
      <c r="D20" s="24">
        <v>0</v>
      </c>
      <c r="E20" s="24">
        <v>0</v>
      </c>
      <c r="F20" s="24">
        <v>1</v>
      </c>
      <c r="G20" s="24">
        <v>0</v>
      </c>
      <c r="H20" s="24">
        <v>0</v>
      </c>
      <c r="I20" s="24">
        <v>0</v>
      </c>
      <c r="J20" s="25">
        <v>0</v>
      </c>
      <c r="K20" s="25">
        <v>0</v>
      </c>
      <c r="L20" s="26">
        <v>0</v>
      </c>
      <c r="M20" s="27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 t="s">
        <v>14</v>
      </c>
    </row>
    <row r="21" spans="1:19" x14ac:dyDescent="0.3">
      <c r="A21" s="78" t="s">
        <v>100</v>
      </c>
      <c r="B21" s="24">
        <v>66</v>
      </c>
      <c r="C21" s="24" t="s">
        <v>52</v>
      </c>
      <c r="D21" s="24">
        <v>0</v>
      </c>
      <c r="E21" s="24">
        <v>1</v>
      </c>
      <c r="F21" s="24">
        <v>2</v>
      </c>
      <c r="G21" s="24">
        <v>0</v>
      </c>
      <c r="H21" s="24">
        <v>1</v>
      </c>
      <c r="I21" s="24">
        <v>0</v>
      </c>
      <c r="J21" s="25">
        <v>1</v>
      </c>
      <c r="K21" s="25">
        <v>0</v>
      </c>
      <c r="L21" s="26">
        <v>0</v>
      </c>
      <c r="M21" s="27">
        <v>0</v>
      </c>
      <c r="N21" s="26">
        <v>1</v>
      </c>
      <c r="O21" s="24">
        <v>0</v>
      </c>
      <c r="P21" s="24">
        <v>0</v>
      </c>
      <c r="Q21" s="24">
        <v>0</v>
      </c>
      <c r="R21" s="24">
        <v>0</v>
      </c>
      <c r="S21" s="24" t="s">
        <v>14</v>
      </c>
    </row>
    <row r="22" spans="1:19" x14ac:dyDescent="0.3">
      <c r="A22" s="78" t="s">
        <v>100</v>
      </c>
      <c r="B22" s="24">
        <v>83</v>
      </c>
      <c r="C22" s="24" t="s">
        <v>26</v>
      </c>
      <c r="D22" s="24">
        <v>2</v>
      </c>
      <c r="E22" s="24">
        <v>0</v>
      </c>
      <c r="F22" s="24">
        <v>1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6">
        <v>0</v>
      </c>
      <c r="M22" s="27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 t="s">
        <v>14</v>
      </c>
    </row>
    <row r="23" spans="1:19" x14ac:dyDescent="0.3">
      <c r="A23" s="78" t="s">
        <v>99</v>
      </c>
      <c r="B23" s="24">
        <v>70</v>
      </c>
      <c r="C23" s="24" t="s">
        <v>27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5">
        <v>0</v>
      </c>
      <c r="K23" s="25">
        <v>0</v>
      </c>
      <c r="L23" s="26">
        <v>0</v>
      </c>
      <c r="M23" s="27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 t="s">
        <v>14</v>
      </c>
    </row>
    <row r="24" spans="1:19" x14ac:dyDescent="0.3">
      <c r="A24" s="78" t="s">
        <v>99</v>
      </c>
      <c r="B24" s="24">
        <v>71</v>
      </c>
      <c r="C24" s="24" t="s">
        <v>28</v>
      </c>
      <c r="D24" s="24">
        <v>0</v>
      </c>
      <c r="E24" s="24">
        <v>0</v>
      </c>
      <c r="F24" s="24">
        <v>4</v>
      </c>
      <c r="G24" s="24">
        <v>0</v>
      </c>
      <c r="H24" s="24">
        <v>0</v>
      </c>
      <c r="I24" s="24">
        <v>0</v>
      </c>
      <c r="J24" s="25">
        <v>0</v>
      </c>
      <c r="K24" s="25">
        <v>0</v>
      </c>
      <c r="L24" s="26">
        <v>0</v>
      </c>
      <c r="M24" s="27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 t="s">
        <v>14</v>
      </c>
    </row>
    <row r="25" spans="1:19" x14ac:dyDescent="0.3">
      <c r="A25" s="78" t="s">
        <v>99</v>
      </c>
      <c r="B25" s="24">
        <v>79</v>
      </c>
      <c r="C25" s="24" t="s">
        <v>29</v>
      </c>
      <c r="D25" s="24">
        <v>0</v>
      </c>
      <c r="E25" s="24">
        <v>0</v>
      </c>
      <c r="F25" s="24">
        <v>1</v>
      </c>
      <c r="G25" s="24">
        <v>0</v>
      </c>
      <c r="H25" s="24">
        <v>0</v>
      </c>
      <c r="I25" s="24">
        <v>0</v>
      </c>
      <c r="J25" s="25">
        <v>0</v>
      </c>
      <c r="K25" s="25">
        <v>0</v>
      </c>
      <c r="L25" s="26">
        <v>0</v>
      </c>
      <c r="M25" s="27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 t="s">
        <v>14</v>
      </c>
    </row>
    <row r="26" spans="1:19" x14ac:dyDescent="0.3">
      <c r="A26" s="78" t="s">
        <v>99</v>
      </c>
      <c r="B26" s="24">
        <v>80</v>
      </c>
      <c r="C26" s="24" t="s">
        <v>30</v>
      </c>
      <c r="D26" s="24">
        <v>2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5">
        <v>0</v>
      </c>
      <c r="K26" s="25">
        <v>0</v>
      </c>
      <c r="L26" s="26">
        <v>0</v>
      </c>
      <c r="M26" s="27">
        <v>5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 t="s">
        <v>14</v>
      </c>
    </row>
    <row r="27" spans="1:19" x14ac:dyDescent="0.3">
      <c r="A27" s="78" t="s">
        <v>99</v>
      </c>
      <c r="B27" s="24">
        <v>81</v>
      </c>
      <c r="C27" s="24" t="s">
        <v>31</v>
      </c>
      <c r="D27" s="24">
        <v>0</v>
      </c>
      <c r="E27" s="24">
        <v>0</v>
      </c>
      <c r="F27" s="24">
        <v>4</v>
      </c>
      <c r="G27" s="24">
        <v>0</v>
      </c>
      <c r="H27" s="24">
        <v>0</v>
      </c>
      <c r="I27" s="24">
        <v>0</v>
      </c>
      <c r="J27" s="25">
        <v>0</v>
      </c>
      <c r="K27" s="25">
        <v>0</v>
      </c>
      <c r="L27" s="26">
        <v>0</v>
      </c>
      <c r="M27" s="27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 t="s">
        <v>14</v>
      </c>
    </row>
    <row r="28" spans="1:19" x14ac:dyDescent="0.3">
      <c r="A28" s="78" t="s">
        <v>99</v>
      </c>
      <c r="B28" s="24">
        <v>82</v>
      </c>
      <c r="C28" s="24" t="s">
        <v>32</v>
      </c>
      <c r="D28" s="24">
        <v>1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5">
        <v>0</v>
      </c>
      <c r="K28" s="25">
        <v>0</v>
      </c>
      <c r="L28" s="26">
        <v>0</v>
      </c>
      <c r="M28" s="27">
        <v>0</v>
      </c>
      <c r="N28" s="26">
        <v>2</v>
      </c>
      <c r="O28" s="24">
        <v>1</v>
      </c>
      <c r="P28" s="24">
        <v>0</v>
      </c>
      <c r="Q28" s="24">
        <v>0</v>
      </c>
      <c r="R28" s="24">
        <v>0</v>
      </c>
      <c r="S28" s="24" t="s">
        <v>14</v>
      </c>
    </row>
    <row r="29" spans="1:19" x14ac:dyDescent="0.3">
      <c r="B29" s="33" t="s">
        <v>20</v>
      </c>
      <c r="C29" s="33" t="s">
        <v>9</v>
      </c>
      <c r="D29" s="33">
        <f>SUM(D4:D28)</f>
        <v>16</v>
      </c>
      <c r="E29" s="33">
        <f t="shared" ref="E29:R29" si="0">SUM(E4:E28)</f>
        <v>8</v>
      </c>
      <c r="F29" s="33">
        <f t="shared" si="0"/>
        <v>225</v>
      </c>
      <c r="G29" s="33">
        <f t="shared" si="0"/>
        <v>1</v>
      </c>
      <c r="H29" s="33">
        <f t="shared" si="0"/>
        <v>1</v>
      </c>
      <c r="I29" s="33">
        <f t="shared" si="0"/>
        <v>8</v>
      </c>
      <c r="J29" s="33">
        <f t="shared" si="0"/>
        <v>1</v>
      </c>
      <c r="K29" s="33">
        <f t="shared" si="0"/>
        <v>1</v>
      </c>
      <c r="L29" s="33">
        <f t="shared" si="0"/>
        <v>0</v>
      </c>
      <c r="M29" s="33">
        <f t="shared" si="0"/>
        <v>5</v>
      </c>
      <c r="N29" s="33">
        <f t="shared" si="0"/>
        <v>8</v>
      </c>
      <c r="O29" s="33">
        <f t="shared" si="0"/>
        <v>5</v>
      </c>
      <c r="P29" s="33">
        <f t="shared" si="0"/>
        <v>1</v>
      </c>
      <c r="Q29" s="33">
        <f t="shared" si="0"/>
        <v>0</v>
      </c>
      <c r="R29" s="33">
        <f t="shared" si="0"/>
        <v>1</v>
      </c>
      <c r="S29" s="36"/>
    </row>
    <row r="30" spans="1:19" s="19" customFormat="1" x14ac:dyDescent="0.3">
      <c r="B30" s="37" t="s">
        <v>20</v>
      </c>
      <c r="C30" s="38" t="s">
        <v>76</v>
      </c>
      <c r="D30" s="98">
        <f t="shared" ref="D30:R30" si="1">AVERAGE(D4:D28)</f>
        <v>0.64</v>
      </c>
      <c r="E30" s="98">
        <f t="shared" si="1"/>
        <v>0.32</v>
      </c>
      <c r="F30" s="98">
        <f t="shared" si="1"/>
        <v>9</v>
      </c>
      <c r="G30" s="98">
        <f t="shared" si="1"/>
        <v>0.04</v>
      </c>
      <c r="H30" s="98">
        <f t="shared" si="1"/>
        <v>0.04</v>
      </c>
      <c r="I30" s="98">
        <f t="shared" si="1"/>
        <v>0.32</v>
      </c>
      <c r="J30" s="98">
        <f t="shared" si="1"/>
        <v>0.04</v>
      </c>
      <c r="K30" s="98">
        <f t="shared" si="1"/>
        <v>0.04</v>
      </c>
      <c r="L30" s="98">
        <f t="shared" si="1"/>
        <v>0</v>
      </c>
      <c r="M30" s="98">
        <f t="shared" si="1"/>
        <v>0.2</v>
      </c>
      <c r="N30" s="98">
        <f t="shared" si="1"/>
        <v>0.32</v>
      </c>
      <c r="O30" s="98">
        <f t="shared" si="1"/>
        <v>0.2</v>
      </c>
      <c r="P30" s="98">
        <f t="shared" si="1"/>
        <v>0.04</v>
      </c>
      <c r="Q30" s="98">
        <f t="shared" si="1"/>
        <v>0</v>
      </c>
      <c r="R30" s="98">
        <f t="shared" si="1"/>
        <v>0.04</v>
      </c>
      <c r="S30" s="41"/>
    </row>
    <row r="31" spans="1:19" s="17" customFormat="1" ht="30.45" customHeight="1" x14ac:dyDescent="0.3">
      <c r="B31" s="42"/>
      <c r="C31" s="43" t="s">
        <v>73</v>
      </c>
      <c r="D31" s="44">
        <v>2</v>
      </c>
      <c r="E31" s="38">
        <v>8</v>
      </c>
      <c r="F31" s="39">
        <v>11</v>
      </c>
      <c r="G31" s="45">
        <v>0</v>
      </c>
      <c r="H31" s="46">
        <v>1</v>
      </c>
      <c r="I31" s="46">
        <v>2</v>
      </c>
      <c r="J31" s="39">
        <v>1</v>
      </c>
      <c r="K31" s="39">
        <v>1</v>
      </c>
      <c r="L31" s="38">
        <v>1</v>
      </c>
      <c r="M31" s="40">
        <v>5</v>
      </c>
      <c r="N31" s="38">
        <v>2</v>
      </c>
      <c r="O31" s="38">
        <v>1</v>
      </c>
      <c r="P31" s="38">
        <v>1</v>
      </c>
      <c r="Q31" s="38">
        <v>0</v>
      </c>
      <c r="R31" s="38">
        <v>1</v>
      </c>
      <c r="S31" s="48"/>
    </row>
    <row r="32" spans="1:19" s="17" customFormat="1" ht="30.45" customHeight="1" x14ac:dyDescent="0.3">
      <c r="B32" s="153"/>
      <c r="C32" s="153" t="s">
        <v>97</v>
      </c>
      <c r="D32" s="154">
        <f>9/25*100</f>
        <v>36</v>
      </c>
      <c r="E32" s="155"/>
      <c r="F32" s="155"/>
      <c r="G32" s="156"/>
      <c r="H32" s="157"/>
      <c r="I32" s="157"/>
      <c r="J32" s="155"/>
      <c r="K32" s="155"/>
      <c r="L32" s="155"/>
      <c r="M32" s="155"/>
      <c r="N32" s="155"/>
      <c r="O32" s="155"/>
      <c r="P32" s="155"/>
      <c r="Q32" s="155"/>
      <c r="R32" s="155"/>
      <c r="S32" s="158"/>
    </row>
    <row r="33" spans="2:11" ht="27" customHeight="1" x14ac:dyDescent="0.3">
      <c r="B33" s="3"/>
      <c r="G33" s="5"/>
      <c r="H33" s="5"/>
      <c r="I33" s="5"/>
      <c r="J33" s="3"/>
      <c r="K33" s="3"/>
    </row>
    <row r="34" spans="2:11" x14ac:dyDescent="0.3">
      <c r="B34" s="6"/>
      <c r="C34" s="49"/>
      <c r="G34" s="3"/>
      <c r="H34" s="3"/>
      <c r="I34" s="3"/>
      <c r="J34" s="3"/>
      <c r="K34" s="3"/>
    </row>
    <row r="35" spans="2:11" x14ac:dyDescent="0.3">
      <c r="B35" s="7"/>
      <c r="C35" s="49"/>
      <c r="G35" s="3"/>
      <c r="H35" s="3"/>
      <c r="I35" s="3"/>
      <c r="J35" s="3"/>
      <c r="K35" s="3"/>
    </row>
    <row r="36" spans="2:11" x14ac:dyDescent="0.3">
      <c r="B36" s="8"/>
      <c r="C36" s="49"/>
      <c r="G36" s="3"/>
      <c r="H36" s="3"/>
      <c r="I36" s="3"/>
      <c r="J36" s="3"/>
      <c r="K36" s="3"/>
    </row>
    <row r="37" spans="2:11" x14ac:dyDescent="0.3">
      <c r="B37" s="9"/>
      <c r="C37" s="49"/>
      <c r="G37" s="3"/>
      <c r="H37" s="3"/>
      <c r="I37" s="3"/>
      <c r="J37" s="3"/>
      <c r="K37" s="3"/>
    </row>
    <row r="38" spans="2:11" x14ac:dyDescent="0.3">
      <c r="B38" s="3"/>
      <c r="G38" s="3"/>
      <c r="H38" s="3"/>
      <c r="I38" s="3"/>
      <c r="J38" s="3"/>
      <c r="K38" s="3"/>
    </row>
    <row r="39" spans="2:11" x14ac:dyDescent="0.3">
      <c r="B39" s="3"/>
    </row>
    <row r="40" spans="2:11" x14ac:dyDescent="0.3">
      <c r="B40"/>
      <c r="C40"/>
    </row>
    <row r="41" spans="2:11" x14ac:dyDescent="0.3">
      <c r="B41"/>
      <c r="C41"/>
    </row>
    <row r="42" spans="2:11" x14ac:dyDescent="0.3">
      <c r="B42"/>
      <c r="C42"/>
    </row>
    <row r="43" spans="2:11" x14ac:dyDescent="0.3">
      <c r="B43"/>
      <c r="C43"/>
    </row>
    <row r="44" spans="2:11" x14ac:dyDescent="0.3">
      <c r="B44"/>
      <c r="C44"/>
    </row>
    <row r="45" spans="2:11" x14ac:dyDescent="0.3">
      <c r="B45"/>
      <c r="C45"/>
    </row>
    <row r="46" spans="2:11" x14ac:dyDescent="0.3">
      <c r="B46"/>
      <c r="C46"/>
    </row>
    <row r="47" spans="2:11" x14ac:dyDescent="0.3">
      <c r="B47"/>
      <c r="C47"/>
    </row>
    <row r="48" spans="2:11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  <row r="69" spans="2:3" x14ac:dyDescent="0.3">
      <c r="B69"/>
      <c r="C69"/>
    </row>
    <row r="70" spans="2:3" x14ac:dyDescent="0.3">
      <c r="B70"/>
      <c r="C70"/>
    </row>
    <row r="71" spans="2:3" x14ac:dyDescent="0.3">
      <c r="B71"/>
      <c r="C71"/>
    </row>
    <row r="72" spans="2:3" x14ac:dyDescent="0.3">
      <c r="B72"/>
      <c r="C72"/>
    </row>
    <row r="73" spans="2:3" x14ac:dyDescent="0.3">
      <c r="B73"/>
      <c r="C73"/>
    </row>
    <row r="74" spans="2:3" x14ac:dyDescent="0.3">
      <c r="B74"/>
      <c r="C74"/>
    </row>
    <row r="75" spans="2:3" x14ac:dyDescent="0.3">
      <c r="B75"/>
      <c r="C75"/>
    </row>
    <row r="76" spans="2:3" x14ac:dyDescent="0.3">
      <c r="B76"/>
      <c r="C76"/>
    </row>
    <row r="77" spans="2:3" x14ac:dyDescent="0.3">
      <c r="B77"/>
      <c r="C77"/>
    </row>
    <row r="78" spans="2:3" x14ac:dyDescent="0.3">
      <c r="B78"/>
      <c r="C78"/>
    </row>
    <row r="79" spans="2:3" x14ac:dyDescent="0.3">
      <c r="B79"/>
      <c r="C79"/>
    </row>
    <row r="80" spans="2:3" x14ac:dyDescent="0.3">
      <c r="B80"/>
      <c r="C80"/>
    </row>
    <row r="81" spans="2:3" x14ac:dyDescent="0.3">
      <c r="B81"/>
      <c r="C81"/>
    </row>
    <row r="82" spans="2:3" x14ac:dyDescent="0.3">
      <c r="B82"/>
      <c r="C82"/>
    </row>
    <row r="83" spans="2:3" x14ac:dyDescent="0.3">
      <c r="B83"/>
      <c r="C83"/>
    </row>
    <row r="84" spans="2:3" x14ac:dyDescent="0.3">
      <c r="B84"/>
      <c r="C84"/>
    </row>
    <row r="85" spans="2:3" x14ac:dyDescent="0.3">
      <c r="B85"/>
      <c r="C85"/>
    </row>
    <row r="86" spans="2:3" x14ac:dyDescent="0.3">
      <c r="B86"/>
      <c r="C86"/>
    </row>
    <row r="87" spans="2:3" x14ac:dyDescent="0.3">
      <c r="B87"/>
      <c r="C87"/>
    </row>
    <row r="88" spans="2:3" x14ac:dyDescent="0.3">
      <c r="B88"/>
      <c r="C88"/>
    </row>
    <row r="89" spans="2:3" x14ac:dyDescent="0.3">
      <c r="B89"/>
      <c r="C89"/>
    </row>
    <row r="90" spans="2:3" x14ac:dyDescent="0.3">
      <c r="B90"/>
      <c r="C90"/>
    </row>
    <row r="91" spans="2:3" x14ac:dyDescent="0.3">
      <c r="B91"/>
      <c r="C91"/>
    </row>
    <row r="92" spans="2:3" x14ac:dyDescent="0.3">
      <c r="B92"/>
      <c r="C92"/>
    </row>
    <row r="93" spans="2:3" x14ac:dyDescent="0.3">
      <c r="B93"/>
      <c r="C93"/>
    </row>
    <row r="94" spans="2:3" x14ac:dyDescent="0.3">
      <c r="B94"/>
      <c r="C94"/>
    </row>
    <row r="95" spans="2:3" x14ac:dyDescent="0.3">
      <c r="B95"/>
      <c r="C95"/>
    </row>
    <row r="96" spans="2:3" x14ac:dyDescent="0.3">
      <c r="B96"/>
      <c r="C96"/>
    </row>
    <row r="97" spans="2:3" x14ac:dyDescent="0.3">
      <c r="B97"/>
      <c r="C97"/>
    </row>
    <row r="98" spans="2:3" x14ac:dyDescent="0.3">
      <c r="B98"/>
      <c r="C98"/>
    </row>
    <row r="99" spans="2:3" x14ac:dyDescent="0.3">
      <c r="B99"/>
      <c r="C99"/>
    </row>
    <row r="100" spans="2:3" x14ac:dyDescent="0.3">
      <c r="B100"/>
      <c r="C100"/>
    </row>
    <row r="101" spans="2:3" x14ac:dyDescent="0.3">
      <c r="B101"/>
      <c r="C101"/>
    </row>
    <row r="102" spans="2:3" x14ac:dyDescent="0.3">
      <c r="B102"/>
      <c r="C102"/>
    </row>
    <row r="103" spans="2:3" x14ac:dyDescent="0.3">
      <c r="B103"/>
      <c r="C103"/>
    </row>
    <row r="104" spans="2:3" x14ac:dyDescent="0.3">
      <c r="B104"/>
      <c r="C104"/>
    </row>
    <row r="105" spans="2:3" x14ac:dyDescent="0.3">
      <c r="B105"/>
      <c r="C105"/>
    </row>
    <row r="106" spans="2:3" x14ac:dyDescent="0.3">
      <c r="B106"/>
      <c r="C106"/>
    </row>
    <row r="107" spans="2:3" x14ac:dyDescent="0.3">
      <c r="B107"/>
      <c r="C107"/>
    </row>
    <row r="108" spans="2:3" x14ac:dyDescent="0.3">
      <c r="B108"/>
      <c r="C108"/>
    </row>
    <row r="109" spans="2:3" x14ac:dyDescent="0.3">
      <c r="B109"/>
      <c r="C109"/>
    </row>
    <row r="110" spans="2:3" x14ac:dyDescent="0.3">
      <c r="B110"/>
      <c r="C110"/>
    </row>
    <row r="111" spans="2:3" x14ac:dyDescent="0.3">
      <c r="B111"/>
      <c r="C111"/>
    </row>
    <row r="112" spans="2:3" x14ac:dyDescent="0.3">
      <c r="B112"/>
      <c r="C112"/>
    </row>
    <row r="113" spans="2:3" x14ac:dyDescent="0.3">
      <c r="B113"/>
      <c r="C113"/>
    </row>
    <row r="114" spans="2:3" x14ac:dyDescent="0.3">
      <c r="B114"/>
      <c r="C114"/>
    </row>
    <row r="115" spans="2:3" x14ac:dyDescent="0.3">
      <c r="B115"/>
      <c r="C115"/>
    </row>
    <row r="116" spans="2:3" x14ac:dyDescent="0.3">
      <c r="B116"/>
      <c r="C116"/>
    </row>
    <row r="117" spans="2:3" x14ac:dyDescent="0.3">
      <c r="B117"/>
      <c r="C117"/>
    </row>
    <row r="118" spans="2:3" x14ac:dyDescent="0.3">
      <c r="B118"/>
      <c r="C118"/>
    </row>
    <row r="119" spans="2:3" x14ac:dyDescent="0.3">
      <c r="B119"/>
      <c r="C119"/>
    </row>
    <row r="120" spans="2:3" x14ac:dyDescent="0.3">
      <c r="B120"/>
      <c r="C120"/>
    </row>
    <row r="121" spans="2:3" x14ac:dyDescent="0.3">
      <c r="B121"/>
      <c r="C121"/>
    </row>
    <row r="122" spans="2:3" x14ac:dyDescent="0.3">
      <c r="B122"/>
      <c r="C122"/>
    </row>
    <row r="123" spans="2:3" x14ac:dyDescent="0.3">
      <c r="B123"/>
      <c r="C123"/>
    </row>
    <row r="124" spans="2:3" x14ac:dyDescent="0.3">
      <c r="B124"/>
      <c r="C124"/>
    </row>
    <row r="125" spans="2:3" x14ac:dyDescent="0.3">
      <c r="B125"/>
      <c r="C125"/>
    </row>
    <row r="126" spans="2:3" x14ac:dyDescent="0.3">
      <c r="B126"/>
      <c r="C126"/>
    </row>
    <row r="127" spans="2:3" x14ac:dyDescent="0.3">
      <c r="B127"/>
      <c r="C127"/>
    </row>
    <row r="128" spans="2:3" x14ac:dyDescent="0.3">
      <c r="B128"/>
      <c r="C128"/>
    </row>
    <row r="129" spans="2:3" x14ac:dyDescent="0.3">
      <c r="B129"/>
      <c r="C129"/>
    </row>
    <row r="130" spans="2:3" x14ac:dyDescent="0.3">
      <c r="B130"/>
      <c r="C130"/>
    </row>
    <row r="131" spans="2:3" x14ac:dyDescent="0.3">
      <c r="B131"/>
      <c r="C131"/>
    </row>
    <row r="132" spans="2:3" x14ac:dyDescent="0.3">
      <c r="B132"/>
      <c r="C132"/>
    </row>
    <row r="133" spans="2:3" x14ac:dyDescent="0.3">
      <c r="B133"/>
      <c r="C133"/>
    </row>
    <row r="134" spans="2:3" x14ac:dyDescent="0.3">
      <c r="B134"/>
      <c r="C134"/>
    </row>
    <row r="135" spans="2:3" x14ac:dyDescent="0.3">
      <c r="B135"/>
      <c r="C135"/>
    </row>
    <row r="136" spans="2:3" x14ac:dyDescent="0.3">
      <c r="B136"/>
      <c r="C136"/>
    </row>
    <row r="137" spans="2:3" x14ac:dyDescent="0.3">
      <c r="B137"/>
      <c r="C137"/>
    </row>
    <row r="138" spans="2:3" x14ac:dyDescent="0.3">
      <c r="B138"/>
      <c r="C138"/>
    </row>
    <row r="139" spans="2:3" x14ac:dyDescent="0.3">
      <c r="B139"/>
      <c r="C139"/>
    </row>
    <row r="140" spans="2:3" x14ac:dyDescent="0.3">
      <c r="B140"/>
      <c r="C140"/>
    </row>
    <row r="141" spans="2:3" x14ac:dyDescent="0.3">
      <c r="B141"/>
      <c r="C141"/>
    </row>
    <row r="142" spans="2:3" x14ac:dyDescent="0.3">
      <c r="B142"/>
      <c r="C142"/>
    </row>
    <row r="143" spans="2:3" x14ac:dyDescent="0.3">
      <c r="B143"/>
      <c r="C143"/>
    </row>
    <row r="144" spans="2:3" x14ac:dyDescent="0.3">
      <c r="B144"/>
      <c r="C144"/>
    </row>
    <row r="145" spans="2:3" x14ac:dyDescent="0.3">
      <c r="B145"/>
      <c r="C145"/>
    </row>
    <row r="146" spans="2:3" x14ac:dyDescent="0.3">
      <c r="B146"/>
      <c r="C146"/>
    </row>
    <row r="147" spans="2:3" x14ac:dyDescent="0.3">
      <c r="B147"/>
      <c r="C147"/>
    </row>
    <row r="148" spans="2:3" x14ac:dyDescent="0.3">
      <c r="B148"/>
      <c r="C148"/>
    </row>
    <row r="149" spans="2:3" x14ac:dyDescent="0.3">
      <c r="B149"/>
      <c r="C149"/>
    </row>
    <row r="150" spans="2:3" x14ac:dyDescent="0.3">
      <c r="B150"/>
      <c r="C150"/>
    </row>
    <row r="151" spans="2:3" x14ac:dyDescent="0.3">
      <c r="B151"/>
      <c r="C151"/>
    </row>
    <row r="152" spans="2:3" x14ac:dyDescent="0.3">
      <c r="B152"/>
      <c r="C152"/>
    </row>
    <row r="153" spans="2:3" x14ac:dyDescent="0.3">
      <c r="B153"/>
      <c r="C153"/>
    </row>
    <row r="154" spans="2:3" x14ac:dyDescent="0.3">
      <c r="B154"/>
      <c r="C154"/>
    </row>
    <row r="155" spans="2:3" x14ac:dyDescent="0.3">
      <c r="B155"/>
      <c r="C155"/>
    </row>
    <row r="156" spans="2:3" x14ac:dyDescent="0.3">
      <c r="B156"/>
      <c r="C156"/>
    </row>
    <row r="157" spans="2:3" x14ac:dyDescent="0.3">
      <c r="B157"/>
      <c r="C157"/>
    </row>
    <row r="158" spans="2:3" x14ac:dyDescent="0.3">
      <c r="B158"/>
      <c r="C158"/>
    </row>
    <row r="159" spans="2:3" x14ac:dyDescent="0.3">
      <c r="B159"/>
      <c r="C159"/>
    </row>
    <row r="160" spans="2:3" x14ac:dyDescent="0.3">
      <c r="B160"/>
      <c r="C160"/>
    </row>
    <row r="161" spans="2:3" x14ac:dyDescent="0.3">
      <c r="B161"/>
      <c r="C161"/>
    </row>
    <row r="162" spans="2:3" x14ac:dyDescent="0.3">
      <c r="B162"/>
      <c r="C162"/>
    </row>
    <row r="163" spans="2:3" x14ac:dyDescent="0.3">
      <c r="B163"/>
      <c r="C163"/>
    </row>
    <row r="164" spans="2:3" x14ac:dyDescent="0.3">
      <c r="B164"/>
      <c r="C164"/>
    </row>
    <row r="165" spans="2:3" x14ac:dyDescent="0.3">
      <c r="B165"/>
      <c r="C165"/>
    </row>
    <row r="166" spans="2:3" x14ac:dyDescent="0.3">
      <c r="B166"/>
      <c r="C166"/>
    </row>
    <row r="167" spans="2:3" x14ac:dyDescent="0.3">
      <c r="B167"/>
      <c r="C167"/>
    </row>
    <row r="168" spans="2:3" x14ac:dyDescent="0.3">
      <c r="B168"/>
      <c r="C168"/>
    </row>
    <row r="169" spans="2:3" x14ac:dyDescent="0.3">
      <c r="B169"/>
      <c r="C169"/>
    </row>
    <row r="170" spans="2:3" x14ac:dyDescent="0.3">
      <c r="B170"/>
      <c r="C170"/>
    </row>
    <row r="171" spans="2:3" x14ac:dyDescent="0.3">
      <c r="B171"/>
      <c r="C171"/>
    </row>
    <row r="172" spans="2:3" x14ac:dyDescent="0.3">
      <c r="B172"/>
      <c r="C172"/>
    </row>
    <row r="173" spans="2:3" x14ac:dyDescent="0.3">
      <c r="B173"/>
      <c r="C173"/>
    </row>
    <row r="174" spans="2:3" x14ac:dyDescent="0.3">
      <c r="B174"/>
      <c r="C174"/>
    </row>
    <row r="175" spans="2:3" x14ac:dyDescent="0.3">
      <c r="B175"/>
      <c r="C175"/>
    </row>
    <row r="176" spans="2:3" x14ac:dyDescent="0.3">
      <c r="B176"/>
      <c r="C176"/>
    </row>
    <row r="177" spans="2:3" x14ac:dyDescent="0.3">
      <c r="B177"/>
      <c r="C177"/>
    </row>
    <row r="178" spans="2:3" x14ac:dyDescent="0.3">
      <c r="B178"/>
      <c r="C178"/>
    </row>
    <row r="179" spans="2:3" x14ac:dyDescent="0.3">
      <c r="B179"/>
      <c r="C179"/>
    </row>
    <row r="180" spans="2:3" x14ac:dyDescent="0.3">
      <c r="B180"/>
      <c r="C180"/>
    </row>
    <row r="181" spans="2:3" x14ac:dyDescent="0.3">
      <c r="B181"/>
      <c r="C181"/>
    </row>
    <row r="182" spans="2:3" x14ac:dyDescent="0.3">
      <c r="B182"/>
      <c r="C182"/>
    </row>
    <row r="183" spans="2:3" x14ac:dyDescent="0.3">
      <c r="B183"/>
      <c r="C183"/>
    </row>
    <row r="184" spans="2:3" x14ac:dyDescent="0.3">
      <c r="B184"/>
      <c r="C184"/>
    </row>
    <row r="185" spans="2:3" x14ac:dyDescent="0.3">
      <c r="B185"/>
      <c r="C185"/>
    </row>
    <row r="186" spans="2:3" x14ac:dyDescent="0.3">
      <c r="B186"/>
      <c r="C186"/>
    </row>
    <row r="187" spans="2:3" x14ac:dyDescent="0.3">
      <c r="B187"/>
      <c r="C187"/>
    </row>
    <row r="188" spans="2:3" x14ac:dyDescent="0.3">
      <c r="B188"/>
      <c r="C188"/>
    </row>
    <row r="189" spans="2:3" x14ac:dyDescent="0.3">
      <c r="B189"/>
      <c r="C189"/>
    </row>
    <row r="190" spans="2:3" x14ac:dyDescent="0.3">
      <c r="B190"/>
      <c r="C190"/>
    </row>
    <row r="191" spans="2:3" x14ac:dyDescent="0.3">
      <c r="B191"/>
      <c r="C191"/>
    </row>
    <row r="192" spans="2:3" x14ac:dyDescent="0.3">
      <c r="B192"/>
      <c r="C192"/>
    </row>
    <row r="193" spans="2:3" x14ac:dyDescent="0.3">
      <c r="B193"/>
      <c r="C193"/>
    </row>
    <row r="194" spans="2:3" x14ac:dyDescent="0.3">
      <c r="B194"/>
      <c r="C194"/>
    </row>
    <row r="195" spans="2:3" x14ac:dyDescent="0.3">
      <c r="B195"/>
      <c r="C195"/>
    </row>
    <row r="196" spans="2:3" x14ac:dyDescent="0.3">
      <c r="B196"/>
      <c r="C196"/>
    </row>
    <row r="197" spans="2:3" x14ac:dyDescent="0.3">
      <c r="B197"/>
      <c r="C197"/>
    </row>
    <row r="198" spans="2:3" x14ac:dyDescent="0.3">
      <c r="B198"/>
      <c r="C198"/>
    </row>
    <row r="199" spans="2:3" x14ac:dyDescent="0.3">
      <c r="B199"/>
      <c r="C199"/>
    </row>
    <row r="200" spans="2:3" x14ac:dyDescent="0.3">
      <c r="B200"/>
      <c r="C200"/>
    </row>
    <row r="201" spans="2:3" x14ac:dyDescent="0.3">
      <c r="B201"/>
      <c r="C201"/>
    </row>
    <row r="202" spans="2:3" x14ac:dyDescent="0.3">
      <c r="B202"/>
      <c r="C202"/>
    </row>
    <row r="203" spans="2:3" x14ac:dyDescent="0.3">
      <c r="B203"/>
      <c r="C203"/>
    </row>
    <row r="204" spans="2:3" x14ac:dyDescent="0.3">
      <c r="B204"/>
      <c r="C204"/>
    </row>
    <row r="205" spans="2:3" x14ac:dyDescent="0.3">
      <c r="B205"/>
      <c r="C205"/>
    </row>
    <row r="206" spans="2:3" x14ac:dyDescent="0.3">
      <c r="B206"/>
      <c r="C206"/>
    </row>
    <row r="207" spans="2:3" x14ac:dyDescent="0.3">
      <c r="B207"/>
      <c r="C207"/>
    </row>
    <row r="208" spans="2:3" x14ac:dyDescent="0.3">
      <c r="B208"/>
      <c r="C208"/>
    </row>
    <row r="209" spans="2:3" x14ac:dyDescent="0.3">
      <c r="B209"/>
      <c r="C209"/>
    </row>
    <row r="210" spans="2:3" x14ac:dyDescent="0.3">
      <c r="B210"/>
      <c r="C210"/>
    </row>
    <row r="211" spans="2:3" x14ac:dyDescent="0.3">
      <c r="B211"/>
      <c r="C211"/>
    </row>
    <row r="212" spans="2:3" x14ac:dyDescent="0.3">
      <c r="B212"/>
      <c r="C212"/>
    </row>
    <row r="213" spans="2:3" x14ac:dyDescent="0.3">
      <c r="B213"/>
      <c r="C213"/>
    </row>
    <row r="214" spans="2:3" x14ac:dyDescent="0.3">
      <c r="B214"/>
      <c r="C214"/>
    </row>
    <row r="215" spans="2:3" x14ac:dyDescent="0.3">
      <c r="B215"/>
      <c r="C215"/>
    </row>
    <row r="216" spans="2:3" x14ac:dyDescent="0.3">
      <c r="B216"/>
      <c r="C216"/>
    </row>
    <row r="217" spans="2:3" x14ac:dyDescent="0.3">
      <c r="B217"/>
      <c r="C217"/>
    </row>
    <row r="218" spans="2:3" x14ac:dyDescent="0.3">
      <c r="B218"/>
      <c r="C218"/>
    </row>
    <row r="219" spans="2:3" x14ac:dyDescent="0.3">
      <c r="B219"/>
      <c r="C219"/>
    </row>
    <row r="220" spans="2:3" x14ac:dyDescent="0.3">
      <c r="B220"/>
      <c r="C220"/>
    </row>
    <row r="221" spans="2:3" x14ac:dyDescent="0.3">
      <c r="B221"/>
      <c r="C221"/>
    </row>
    <row r="222" spans="2:3" x14ac:dyDescent="0.3">
      <c r="B222"/>
      <c r="C222"/>
    </row>
    <row r="223" spans="2:3" x14ac:dyDescent="0.3">
      <c r="B223"/>
      <c r="C223"/>
    </row>
    <row r="224" spans="2:3" x14ac:dyDescent="0.3">
      <c r="B224"/>
      <c r="C224"/>
    </row>
    <row r="225" spans="2:3" x14ac:dyDescent="0.3">
      <c r="B225"/>
      <c r="C225"/>
    </row>
    <row r="226" spans="2:3" x14ac:dyDescent="0.3">
      <c r="B226"/>
      <c r="C226"/>
    </row>
    <row r="227" spans="2:3" x14ac:dyDescent="0.3">
      <c r="B227"/>
      <c r="C227"/>
    </row>
    <row r="228" spans="2:3" x14ac:dyDescent="0.3">
      <c r="B228"/>
      <c r="C228"/>
    </row>
    <row r="229" spans="2:3" x14ac:dyDescent="0.3">
      <c r="B229"/>
      <c r="C229"/>
    </row>
    <row r="230" spans="2:3" x14ac:dyDescent="0.3">
      <c r="B230"/>
      <c r="C230"/>
    </row>
    <row r="231" spans="2:3" x14ac:dyDescent="0.3">
      <c r="B231"/>
      <c r="C231"/>
    </row>
    <row r="232" spans="2:3" x14ac:dyDescent="0.3">
      <c r="B232"/>
      <c r="C232"/>
    </row>
    <row r="233" spans="2:3" x14ac:dyDescent="0.3">
      <c r="B233"/>
      <c r="C233"/>
    </row>
    <row r="234" spans="2:3" x14ac:dyDescent="0.3">
      <c r="B234"/>
      <c r="C234"/>
    </row>
    <row r="235" spans="2:3" x14ac:dyDescent="0.3">
      <c r="B235"/>
      <c r="C235"/>
    </row>
    <row r="236" spans="2:3" x14ac:dyDescent="0.3">
      <c r="B236"/>
      <c r="C236"/>
    </row>
    <row r="237" spans="2:3" x14ac:dyDescent="0.3">
      <c r="B237"/>
      <c r="C237"/>
    </row>
    <row r="238" spans="2:3" x14ac:dyDescent="0.3">
      <c r="B238"/>
      <c r="C238"/>
    </row>
    <row r="239" spans="2:3" x14ac:dyDescent="0.3">
      <c r="B239"/>
      <c r="C239"/>
    </row>
    <row r="240" spans="2:3" x14ac:dyDescent="0.3">
      <c r="B240"/>
      <c r="C240"/>
    </row>
    <row r="241" spans="2:3" x14ac:dyDescent="0.3">
      <c r="B241"/>
      <c r="C241"/>
    </row>
    <row r="242" spans="2:3" x14ac:dyDescent="0.3">
      <c r="B242"/>
      <c r="C242"/>
    </row>
    <row r="243" spans="2:3" x14ac:dyDescent="0.3">
      <c r="B243"/>
      <c r="C243"/>
    </row>
    <row r="244" spans="2:3" x14ac:dyDescent="0.3">
      <c r="B244"/>
      <c r="C244"/>
    </row>
    <row r="245" spans="2:3" x14ac:dyDescent="0.3">
      <c r="B245"/>
      <c r="C245"/>
    </row>
    <row r="246" spans="2:3" x14ac:dyDescent="0.3">
      <c r="B246"/>
      <c r="C246"/>
    </row>
    <row r="247" spans="2:3" x14ac:dyDescent="0.3">
      <c r="B247"/>
      <c r="C247"/>
    </row>
    <row r="248" spans="2:3" x14ac:dyDescent="0.3">
      <c r="B248"/>
      <c r="C248"/>
    </row>
    <row r="249" spans="2:3" x14ac:dyDescent="0.3">
      <c r="B249"/>
      <c r="C249"/>
    </row>
    <row r="250" spans="2:3" x14ac:dyDescent="0.3">
      <c r="B250"/>
      <c r="C250"/>
    </row>
    <row r="251" spans="2:3" x14ac:dyDescent="0.3">
      <c r="B251"/>
      <c r="C251"/>
    </row>
    <row r="252" spans="2:3" x14ac:dyDescent="0.3">
      <c r="B252"/>
      <c r="C252"/>
    </row>
    <row r="253" spans="2:3" x14ac:dyDescent="0.3">
      <c r="B253"/>
      <c r="C253"/>
    </row>
    <row r="254" spans="2:3" x14ac:dyDescent="0.3">
      <c r="B254"/>
      <c r="C254"/>
    </row>
    <row r="255" spans="2:3" x14ac:dyDescent="0.3">
      <c r="B255"/>
      <c r="C255"/>
    </row>
    <row r="256" spans="2:3" x14ac:dyDescent="0.3">
      <c r="B256"/>
      <c r="C256"/>
    </row>
    <row r="257" spans="2:3" x14ac:dyDescent="0.3">
      <c r="B257"/>
      <c r="C257"/>
    </row>
    <row r="258" spans="2:3" x14ac:dyDescent="0.3">
      <c r="B258"/>
      <c r="C258"/>
    </row>
    <row r="259" spans="2:3" x14ac:dyDescent="0.3">
      <c r="B259"/>
      <c r="C259"/>
    </row>
    <row r="260" spans="2:3" x14ac:dyDescent="0.3">
      <c r="B260"/>
      <c r="C260"/>
    </row>
    <row r="261" spans="2:3" x14ac:dyDescent="0.3">
      <c r="B261"/>
      <c r="C261"/>
    </row>
    <row r="262" spans="2:3" x14ac:dyDescent="0.3">
      <c r="B262"/>
      <c r="C262"/>
    </row>
    <row r="263" spans="2:3" x14ac:dyDescent="0.3">
      <c r="B263"/>
      <c r="C263"/>
    </row>
    <row r="264" spans="2:3" x14ac:dyDescent="0.3">
      <c r="B264"/>
      <c r="C264"/>
    </row>
    <row r="265" spans="2:3" x14ac:dyDescent="0.3">
      <c r="B265"/>
      <c r="C265"/>
    </row>
    <row r="266" spans="2:3" x14ac:dyDescent="0.3">
      <c r="B266"/>
      <c r="C266"/>
    </row>
    <row r="267" spans="2:3" x14ac:dyDescent="0.3">
      <c r="B267"/>
      <c r="C267"/>
    </row>
    <row r="268" spans="2:3" x14ac:dyDescent="0.3">
      <c r="B268"/>
      <c r="C268"/>
    </row>
    <row r="269" spans="2:3" x14ac:dyDescent="0.3">
      <c r="B269"/>
      <c r="C269"/>
    </row>
    <row r="270" spans="2:3" x14ac:dyDescent="0.3">
      <c r="B270"/>
      <c r="C270"/>
    </row>
    <row r="271" spans="2:3" x14ac:dyDescent="0.3">
      <c r="B271"/>
      <c r="C271"/>
    </row>
    <row r="272" spans="2:3" x14ac:dyDescent="0.3">
      <c r="B272"/>
      <c r="C272"/>
    </row>
    <row r="273" spans="2:3" x14ac:dyDescent="0.3">
      <c r="B273"/>
      <c r="C273"/>
    </row>
    <row r="274" spans="2:3" x14ac:dyDescent="0.3">
      <c r="B274"/>
      <c r="C274"/>
    </row>
    <row r="275" spans="2:3" x14ac:dyDescent="0.3">
      <c r="B275"/>
      <c r="C275"/>
    </row>
    <row r="276" spans="2:3" x14ac:dyDescent="0.3">
      <c r="B276"/>
      <c r="C276"/>
    </row>
    <row r="277" spans="2:3" x14ac:dyDescent="0.3">
      <c r="B277"/>
      <c r="C277"/>
    </row>
    <row r="278" spans="2:3" x14ac:dyDescent="0.3">
      <c r="B278"/>
      <c r="C278"/>
    </row>
    <row r="279" spans="2:3" x14ac:dyDescent="0.3">
      <c r="B279"/>
      <c r="C279"/>
    </row>
    <row r="280" spans="2:3" x14ac:dyDescent="0.3">
      <c r="B280"/>
      <c r="C280"/>
    </row>
    <row r="281" spans="2:3" x14ac:dyDescent="0.3">
      <c r="B281"/>
      <c r="C281"/>
    </row>
    <row r="282" spans="2:3" x14ac:dyDescent="0.3">
      <c r="B282"/>
      <c r="C282"/>
    </row>
    <row r="283" spans="2:3" x14ac:dyDescent="0.3">
      <c r="B283"/>
      <c r="C283"/>
    </row>
    <row r="284" spans="2:3" x14ac:dyDescent="0.3">
      <c r="B284"/>
      <c r="C284"/>
    </row>
    <row r="285" spans="2:3" x14ac:dyDescent="0.3">
      <c r="B285"/>
      <c r="C285"/>
    </row>
    <row r="286" spans="2:3" x14ac:dyDescent="0.3">
      <c r="B286"/>
      <c r="C286"/>
    </row>
    <row r="287" spans="2:3" x14ac:dyDescent="0.3">
      <c r="B287"/>
      <c r="C287"/>
    </row>
    <row r="288" spans="2:3" x14ac:dyDescent="0.3">
      <c r="B288"/>
      <c r="C288"/>
    </row>
    <row r="289" spans="2:3" x14ac:dyDescent="0.3">
      <c r="B289"/>
      <c r="C289"/>
    </row>
    <row r="290" spans="2:3" x14ac:dyDescent="0.3">
      <c r="B290"/>
      <c r="C290"/>
    </row>
    <row r="291" spans="2:3" x14ac:dyDescent="0.3">
      <c r="B291"/>
      <c r="C291"/>
    </row>
    <row r="292" spans="2:3" x14ac:dyDescent="0.3">
      <c r="B292"/>
      <c r="C292"/>
    </row>
    <row r="293" spans="2:3" x14ac:dyDescent="0.3">
      <c r="B293"/>
      <c r="C293"/>
    </row>
    <row r="294" spans="2:3" x14ac:dyDescent="0.3">
      <c r="B294"/>
      <c r="C294"/>
    </row>
    <row r="295" spans="2:3" x14ac:dyDescent="0.3">
      <c r="B295"/>
      <c r="C295"/>
    </row>
    <row r="296" spans="2:3" x14ac:dyDescent="0.3">
      <c r="B296"/>
      <c r="C296"/>
    </row>
    <row r="297" spans="2:3" x14ac:dyDescent="0.3">
      <c r="B297"/>
      <c r="C297"/>
    </row>
    <row r="298" spans="2:3" x14ac:dyDescent="0.3">
      <c r="B298"/>
      <c r="C298"/>
    </row>
    <row r="299" spans="2:3" x14ac:dyDescent="0.3">
      <c r="B299"/>
      <c r="C299"/>
    </row>
    <row r="300" spans="2:3" x14ac:dyDescent="0.3">
      <c r="B300"/>
      <c r="C300"/>
    </row>
    <row r="301" spans="2:3" x14ac:dyDescent="0.3">
      <c r="B301"/>
      <c r="C301"/>
    </row>
    <row r="302" spans="2:3" x14ac:dyDescent="0.3">
      <c r="B302"/>
      <c r="C302"/>
    </row>
    <row r="303" spans="2:3" x14ac:dyDescent="0.3">
      <c r="B303"/>
      <c r="C303"/>
    </row>
    <row r="304" spans="2:3" x14ac:dyDescent="0.3">
      <c r="B304"/>
      <c r="C304"/>
    </row>
    <row r="305" spans="2:3" x14ac:dyDescent="0.3">
      <c r="B305"/>
      <c r="C305"/>
    </row>
    <row r="306" spans="2:3" x14ac:dyDescent="0.3">
      <c r="B306"/>
      <c r="C306"/>
    </row>
    <row r="307" spans="2:3" x14ac:dyDescent="0.3">
      <c r="B307"/>
      <c r="C307"/>
    </row>
    <row r="308" spans="2:3" x14ac:dyDescent="0.3">
      <c r="B308"/>
      <c r="C308"/>
    </row>
    <row r="309" spans="2:3" x14ac:dyDescent="0.3">
      <c r="B309"/>
      <c r="C309"/>
    </row>
    <row r="310" spans="2:3" x14ac:dyDescent="0.3">
      <c r="B310"/>
      <c r="C310"/>
    </row>
    <row r="311" spans="2:3" x14ac:dyDescent="0.3">
      <c r="B311"/>
      <c r="C311"/>
    </row>
    <row r="312" spans="2:3" x14ac:dyDescent="0.3">
      <c r="B312"/>
      <c r="C312"/>
    </row>
    <row r="313" spans="2:3" x14ac:dyDescent="0.3">
      <c r="B313"/>
      <c r="C313"/>
    </row>
    <row r="314" spans="2:3" x14ac:dyDescent="0.3">
      <c r="B314"/>
      <c r="C314"/>
    </row>
    <row r="315" spans="2:3" x14ac:dyDescent="0.3">
      <c r="B315"/>
      <c r="C315"/>
    </row>
    <row r="316" spans="2:3" x14ac:dyDescent="0.3">
      <c r="B316"/>
      <c r="C316"/>
    </row>
    <row r="317" spans="2:3" x14ac:dyDescent="0.3">
      <c r="B317"/>
      <c r="C317"/>
    </row>
    <row r="318" spans="2:3" x14ac:dyDescent="0.3">
      <c r="B318"/>
      <c r="C318"/>
    </row>
    <row r="319" spans="2:3" x14ac:dyDescent="0.3">
      <c r="B319"/>
      <c r="C319"/>
    </row>
    <row r="320" spans="2:3" x14ac:dyDescent="0.3">
      <c r="B320"/>
      <c r="C320"/>
    </row>
    <row r="321" spans="2:3" x14ac:dyDescent="0.3">
      <c r="B321"/>
      <c r="C321"/>
    </row>
    <row r="322" spans="2:3" x14ac:dyDescent="0.3">
      <c r="B322"/>
      <c r="C322"/>
    </row>
    <row r="323" spans="2:3" x14ac:dyDescent="0.3">
      <c r="B323"/>
      <c r="C323"/>
    </row>
    <row r="324" spans="2:3" x14ac:dyDescent="0.3">
      <c r="B324"/>
      <c r="C324"/>
    </row>
    <row r="325" spans="2:3" x14ac:dyDescent="0.3">
      <c r="B325"/>
      <c r="C325"/>
    </row>
    <row r="326" spans="2:3" x14ac:dyDescent="0.3">
      <c r="B326"/>
      <c r="C326"/>
    </row>
    <row r="327" spans="2:3" x14ac:dyDescent="0.3">
      <c r="B327"/>
      <c r="C327"/>
    </row>
    <row r="328" spans="2:3" x14ac:dyDescent="0.3">
      <c r="B328"/>
      <c r="C328"/>
    </row>
    <row r="329" spans="2:3" x14ac:dyDescent="0.3">
      <c r="B329"/>
      <c r="C329"/>
    </row>
    <row r="330" spans="2:3" x14ac:dyDescent="0.3">
      <c r="B330"/>
      <c r="C330"/>
    </row>
    <row r="331" spans="2:3" x14ac:dyDescent="0.3">
      <c r="B331"/>
      <c r="C331"/>
    </row>
    <row r="332" spans="2:3" x14ac:dyDescent="0.3">
      <c r="B332"/>
      <c r="C332"/>
    </row>
    <row r="333" spans="2:3" x14ac:dyDescent="0.3">
      <c r="B333"/>
      <c r="C333"/>
    </row>
    <row r="334" spans="2:3" x14ac:dyDescent="0.3">
      <c r="B334"/>
      <c r="C334"/>
    </row>
    <row r="335" spans="2:3" x14ac:dyDescent="0.3">
      <c r="B335"/>
      <c r="C335"/>
    </row>
    <row r="336" spans="2:3" x14ac:dyDescent="0.3">
      <c r="B336"/>
      <c r="C336"/>
    </row>
    <row r="337" spans="2:3" x14ac:dyDescent="0.3">
      <c r="B337"/>
      <c r="C337"/>
    </row>
    <row r="338" spans="2:3" x14ac:dyDescent="0.3">
      <c r="B338"/>
      <c r="C338"/>
    </row>
    <row r="339" spans="2:3" x14ac:dyDescent="0.3">
      <c r="B339"/>
      <c r="C339"/>
    </row>
    <row r="340" spans="2:3" x14ac:dyDescent="0.3">
      <c r="B340"/>
      <c r="C340"/>
    </row>
    <row r="341" spans="2:3" x14ac:dyDescent="0.3">
      <c r="B341"/>
      <c r="C341"/>
    </row>
    <row r="342" spans="2:3" x14ac:dyDescent="0.3">
      <c r="B342"/>
      <c r="C342"/>
    </row>
    <row r="343" spans="2:3" x14ac:dyDescent="0.3">
      <c r="B343"/>
      <c r="C343"/>
    </row>
    <row r="344" spans="2:3" x14ac:dyDescent="0.3">
      <c r="B344"/>
      <c r="C344"/>
    </row>
    <row r="345" spans="2:3" x14ac:dyDescent="0.3">
      <c r="B345"/>
      <c r="C345"/>
    </row>
    <row r="346" spans="2:3" x14ac:dyDescent="0.3">
      <c r="B346"/>
      <c r="C346"/>
    </row>
    <row r="347" spans="2:3" x14ac:dyDescent="0.3">
      <c r="B347"/>
      <c r="C347"/>
    </row>
    <row r="348" spans="2:3" x14ac:dyDescent="0.3">
      <c r="B348"/>
      <c r="C348"/>
    </row>
    <row r="349" spans="2:3" x14ac:dyDescent="0.3">
      <c r="B349"/>
      <c r="C349"/>
    </row>
    <row r="350" spans="2:3" x14ac:dyDescent="0.3">
      <c r="B350"/>
      <c r="C350"/>
    </row>
    <row r="351" spans="2:3" x14ac:dyDescent="0.3">
      <c r="B351"/>
      <c r="C351"/>
    </row>
    <row r="352" spans="2:3" x14ac:dyDescent="0.3">
      <c r="B352"/>
      <c r="C352"/>
    </row>
    <row r="353" spans="2:3" x14ac:dyDescent="0.3">
      <c r="B353"/>
      <c r="C353"/>
    </row>
    <row r="354" spans="2:3" x14ac:dyDescent="0.3">
      <c r="B354"/>
      <c r="C354"/>
    </row>
    <row r="355" spans="2:3" x14ac:dyDescent="0.3">
      <c r="B355"/>
      <c r="C355"/>
    </row>
    <row r="356" spans="2:3" x14ac:dyDescent="0.3">
      <c r="B356"/>
      <c r="C356"/>
    </row>
    <row r="357" spans="2:3" x14ac:dyDescent="0.3">
      <c r="B357"/>
      <c r="C357"/>
    </row>
    <row r="358" spans="2:3" x14ac:dyDescent="0.3">
      <c r="B358"/>
      <c r="C358"/>
    </row>
    <row r="359" spans="2:3" x14ac:dyDescent="0.3">
      <c r="B359"/>
      <c r="C359"/>
    </row>
    <row r="360" spans="2:3" x14ac:dyDescent="0.3">
      <c r="B360"/>
      <c r="C360"/>
    </row>
    <row r="361" spans="2:3" x14ac:dyDescent="0.3">
      <c r="B361"/>
      <c r="C361"/>
    </row>
    <row r="362" spans="2:3" x14ac:dyDescent="0.3">
      <c r="B362"/>
      <c r="C362"/>
    </row>
    <row r="363" spans="2:3" x14ac:dyDescent="0.3">
      <c r="B363"/>
      <c r="C363"/>
    </row>
    <row r="364" spans="2:3" x14ac:dyDescent="0.3">
      <c r="B364"/>
      <c r="C364"/>
    </row>
    <row r="365" spans="2:3" x14ac:dyDescent="0.3">
      <c r="B365"/>
      <c r="C365"/>
    </row>
    <row r="366" spans="2:3" x14ac:dyDescent="0.3">
      <c r="B366"/>
      <c r="C366"/>
    </row>
    <row r="367" spans="2:3" x14ac:dyDescent="0.3">
      <c r="B367"/>
      <c r="C367"/>
    </row>
    <row r="368" spans="2:3" x14ac:dyDescent="0.3">
      <c r="B368"/>
      <c r="C368"/>
    </row>
    <row r="369" spans="2:3" x14ac:dyDescent="0.3">
      <c r="B369"/>
      <c r="C369"/>
    </row>
    <row r="370" spans="2:3" x14ac:dyDescent="0.3">
      <c r="B370"/>
      <c r="C370"/>
    </row>
    <row r="371" spans="2:3" x14ac:dyDescent="0.3">
      <c r="B371"/>
      <c r="C371"/>
    </row>
    <row r="372" spans="2:3" x14ac:dyDescent="0.3">
      <c r="B372"/>
      <c r="C372"/>
    </row>
    <row r="373" spans="2:3" x14ac:dyDescent="0.3">
      <c r="B373"/>
      <c r="C373"/>
    </row>
    <row r="374" spans="2:3" x14ac:dyDescent="0.3">
      <c r="B374"/>
      <c r="C374"/>
    </row>
    <row r="375" spans="2:3" x14ac:dyDescent="0.3">
      <c r="B375"/>
      <c r="C375"/>
    </row>
    <row r="376" spans="2:3" x14ac:dyDescent="0.3">
      <c r="B376"/>
      <c r="C376"/>
    </row>
    <row r="377" spans="2:3" x14ac:dyDescent="0.3">
      <c r="B377"/>
      <c r="C377"/>
    </row>
    <row r="378" spans="2:3" x14ac:dyDescent="0.3">
      <c r="B378"/>
      <c r="C378"/>
    </row>
    <row r="379" spans="2:3" x14ac:dyDescent="0.3">
      <c r="B379"/>
      <c r="C379"/>
    </row>
    <row r="380" spans="2:3" x14ac:dyDescent="0.3">
      <c r="B380"/>
      <c r="C380"/>
    </row>
    <row r="381" spans="2:3" x14ac:dyDescent="0.3">
      <c r="B381"/>
      <c r="C381"/>
    </row>
    <row r="382" spans="2:3" x14ac:dyDescent="0.3">
      <c r="B382"/>
      <c r="C382"/>
    </row>
    <row r="383" spans="2:3" x14ac:dyDescent="0.3">
      <c r="B383"/>
      <c r="C383"/>
    </row>
    <row r="384" spans="2:3" x14ac:dyDescent="0.3">
      <c r="B384"/>
      <c r="C384"/>
    </row>
    <row r="385" spans="2:3" x14ac:dyDescent="0.3">
      <c r="B385"/>
      <c r="C385"/>
    </row>
    <row r="386" spans="2:3" x14ac:dyDescent="0.3">
      <c r="B386"/>
      <c r="C386"/>
    </row>
    <row r="387" spans="2:3" x14ac:dyDescent="0.3">
      <c r="B387"/>
      <c r="C387"/>
    </row>
    <row r="388" spans="2:3" x14ac:dyDescent="0.3">
      <c r="B388"/>
      <c r="C388"/>
    </row>
    <row r="389" spans="2:3" x14ac:dyDescent="0.3">
      <c r="B389"/>
      <c r="C389"/>
    </row>
    <row r="390" spans="2:3" x14ac:dyDescent="0.3">
      <c r="B390"/>
      <c r="C390"/>
    </row>
    <row r="391" spans="2:3" x14ac:dyDescent="0.3">
      <c r="B391"/>
      <c r="C391"/>
    </row>
    <row r="392" spans="2:3" x14ac:dyDescent="0.3">
      <c r="B392"/>
      <c r="C392"/>
    </row>
    <row r="393" spans="2:3" x14ac:dyDescent="0.3">
      <c r="B393"/>
      <c r="C393"/>
    </row>
    <row r="394" spans="2:3" x14ac:dyDescent="0.3">
      <c r="B394"/>
      <c r="C394"/>
    </row>
    <row r="395" spans="2:3" x14ac:dyDescent="0.3">
      <c r="B395"/>
      <c r="C395"/>
    </row>
    <row r="396" spans="2:3" x14ac:dyDescent="0.3">
      <c r="B396"/>
      <c r="C396"/>
    </row>
    <row r="397" spans="2:3" x14ac:dyDescent="0.3">
      <c r="B397"/>
      <c r="C397"/>
    </row>
    <row r="398" spans="2:3" x14ac:dyDescent="0.3">
      <c r="B398"/>
      <c r="C398"/>
    </row>
    <row r="399" spans="2:3" x14ac:dyDescent="0.3">
      <c r="B399"/>
      <c r="C399"/>
    </row>
    <row r="400" spans="2:3" x14ac:dyDescent="0.3">
      <c r="B400"/>
      <c r="C400"/>
    </row>
    <row r="401" spans="2:3" x14ac:dyDescent="0.3">
      <c r="B401"/>
      <c r="C401"/>
    </row>
    <row r="402" spans="2:3" x14ac:dyDescent="0.3">
      <c r="B402"/>
      <c r="C402"/>
    </row>
    <row r="403" spans="2:3" x14ac:dyDescent="0.3">
      <c r="B403"/>
      <c r="C403"/>
    </row>
    <row r="404" spans="2:3" x14ac:dyDescent="0.3">
      <c r="B404"/>
      <c r="C404"/>
    </row>
    <row r="405" spans="2:3" x14ac:dyDescent="0.3">
      <c r="B405"/>
      <c r="C405"/>
    </row>
    <row r="406" spans="2:3" x14ac:dyDescent="0.3">
      <c r="B406"/>
      <c r="C406"/>
    </row>
    <row r="407" spans="2:3" x14ac:dyDescent="0.3">
      <c r="B407"/>
      <c r="C407"/>
    </row>
    <row r="408" spans="2:3" x14ac:dyDescent="0.3">
      <c r="B408"/>
      <c r="C408"/>
    </row>
    <row r="409" spans="2:3" x14ac:dyDescent="0.3">
      <c r="B409"/>
      <c r="C409"/>
    </row>
    <row r="410" spans="2:3" x14ac:dyDescent="0.3">
      <c r="B410"/>
      <c r="C410"/>
    </row>
    <row r="411" spans="2:3" x14ac:dyDescent="0.3">
      <c r="B411"/>
      <c r="C411"/>
    </row>
    <row r="412" spans="2:3" x14ac:dyDescent="0.3">
      <c r="B412"/>
      <c r="C412"/>
    </row>
    <row r="413" spans="2:3" x14ac:dyDescent="0.3">
      <c r="B413"/>
      <c r="C413"/>
    </row>
    <row r="414" spans="2:3" x14ac:dyDescent="0.3">
      <c r="B414"/>
      <c r="C414"/>
    </row>
    <row r="415" spans="2:3" x14ac:dyDescent="0.3">
      <c r="B415"/>
      <c r="C415"/>
    </row>
    <row r="416" spans="2:3" x14ac:dyDescent="0.3">
      <c r="B416"/>
      <c r="C416"/>
    </row>
    <row r="417" spans="2:3" x14ac:dyDescent="0.3">
      <c r="B417"/>
      <c r="C417"/>
    </row>
    <row r="418" spans="2:3" x14ac:dyDescent="0.3">
      <c r="B418"/>
      <c r="C418"/>
    </row>
    <row r="419" spans="2:3" x14ac:dyDescent="0.3">
      <c r="B419"/>
      <c r="C419"/>
    </row>
    <row r="420" spans="2:3" x14ac:dyDescent="0.3">
      <c r="B420"/>
      <c r="C420"/>
    </row>
    <row r="421" spans="2:3" x14ac:dyDescent="0.3">
      <c r="B421"/>
      <c r="C421"/>
    </row>
    <row r="422" spans="2:3" x14ac:dyDescent="0.3">
      <c r="B422"/>
      <c r="C422"/>
    </row>
    <row r="423" spans="2:3" x14ac:dyDescent="0.3">
      <c r="B423"/>
      <c r="C423"/>
    </row>
    <row r="424" spans="2:3" x14ac:dyDescent="0.3">
      <c r="B424"/>
      <c r="C424"/>
    </row>
    <row r="425" spans="2:3" x14ac:dyDescent="0.3">
      <c r="B425"/>
      <c r="C425"/>
    </row>
    <row r="426" spans="2:3" x14ac:dyDescent="0.3">
      <c r="B426"/>
      <c r="C426"/>
    </row>
    <row r="427" spans="2:3" x14ac:dyDescent="0.3">
      <c r="B427"/>
      <c r="C427"/>
    </row>
    <row r="428" spans="2:3" x14ac:dyDescent="0.3">
      <c r="B428"/>
      <c r="C428"/>
    </row>
    <row r="429" spans="2:3" x14ac:dyDescent="0.3">
      <c r="B429"/>
      <c r="C429"/>
    </row>
    <row r="430" spans="2:3" x14ac:dyDescent="0.3">
      <c r="B430"/>
      <c r="C430"/>
    </row>
    <row r="431" spans="2:3" x14ac:dyDescent="0.3">
      <c r="B431"/>
      <c r="C431"/>
    </row>
    <row r="432" spans="2:3" x14ac:dyDescent="0.3">
      <c r="B432"/>
      <c r="C432"/>
    </row>
    <row r="433" spans="2:3" x14ac:dyDescent="0.3">
      <c r="B433"/>
      <c r="C433"/>
    </row>
    <row r="434" spans="2:3" x14ac:dyDescent="0.3">
      <c r="B434"/>
      <c r="C434"/>
    </row>
    <row r="435" spans="2:3" x14ac:dyDescent="0.3">
      <c r="B435"/>
      <c r="C435"/>
    </row>
    <row r="436" spans="2:3" x14ac:dyDescent="0.3">
      <c r="B436"/>
      <c r="C436"/>
    </row>
    <row r="437" spans="2:3" x14ac:dyDescent="0.3">
      <c r="B437"/>
      <c r="C437"/>
    </row>
    <row r="438" spans="2:3" x14ac:dyDescent="0.3">
      <c r="B438"/>
      <c r="C438"/>
    </row>
    <row r="439" spans="2:3" x14ac:dyDescent="0.3">
      <c r="B439"/>
      <c r="C439"/>
    </row>
    <row r="440" spans="2:3" x14ac:dyDescent="0.3">
      <c r="B440"/>
      <c r="C440"/>
    </row>
    <row r="441" spans="2:3" x14ac:dyDescent="0.3">
      <c r="B441"/>
      <c r="C441"/>
    </row>
    <row r="442" spans="2:3" x14ac:dyDescent="0.3">
      <c r="B442"/>
      <c r="C442"/>
    </row>
    <row r="443" spans="2:3" x14ac:dyDescent="0.3">
      <c r="B443"/>
      <c r="C443"/>
    </row>
    <row r="444" spans="2:3" x14ac:dyDescent="0.3">
      <c r="B444"/>
      <c r="C444"/>
    </row>
    <row r="445" spans="2:3" x14ac:dyDescent="0.3">
      <c r="B445"/>
      <c r="C445"/>
    </row>
    <row r="446" spans="2:3" x14ac:dyDescent="0.3">
      <c r="B446"/>
      <c r="C446"/>
    </row>
    <row r="447" spans="2:3" x14ac:dyDescent="0.3">
      <c r="B447"/>
      <c r="C447"/>
    </row>
    <row r="448" spans="2:3" x14ac:dyDescent="0.3">
      <c r="B448"/>
      <c r="C448"/>
    </row>
    <row r="449" spans="2:3" x14ac:dyDescent="0.3">
      <c r="B449"/>
      <c r="C449"/>
    </row>
    <row r="450" spans="2:3" x14ac:dyDescent="0.3">
      <c r="B450"/>
      <c r="C450"/>
    </row>
    <row r="451" spans="2:3" x14ac:dyDescent="0.3">
      <c r="B451"/>
      <c r="C451"/>
    </row>
    <row r="452" spans="2:3" x14ac:dyDescent="0.3">
      <c r="B452"/>
      <c r="C452"/>
    </row>
    <row r="453" spans="2:3" x14ac:dyDescent="0.3">
      <c r="B453"/>
      <c r="C453"/>
    </row>
    <row r="454" spans="2:3" x14ac:dyDescent="0.3">
      <c r="B454"/>
      <c r="C454"/>
    </row>
    <row r="455" spans="2:3" x14ac:dyDescent="0.3">
      <c r="B455"/>
      <c r="C455"/>
    </row>
    <row r="456" spans="2:3" x14ac:dyDescent="0.3">
      <c r="B456"/>
      <c r="C456"/>
    </row>
    <row r="457" spans="2:3" x14ac:dyDescent="0.3">
      <c r="B457"/>
      <c r="C457"/>
    </row>
    <row r="458" spans="2:3" x14ac:dyDescent="0.3">
      <c r="B458"/>
      <c r="C458"/>
    </row>
    <row r="459" spans="2:3" x14ac:dyDescent="0.3">
      <c r="B459"/>
      <c r="C459"/>
    </row>
    <row r="460" spans="2:3" x14ac:dyDescent="0.3">
      <c r="B460"/>
      <c r="C460"/>
    </row>
    <row r="461" spans="2:3" x14ac:dyDescent="0.3">
      <c r="B461"/>
      <c r="C461"/>
    </row>
    <row r="462" spans="2:3" x14ac:dyDescent="0.3">
      <c r="B462"/>
      <c r="C462"/>
    </row>
    <row r="463" spans="2:3" x14ac:dyDescent="0.3">
      <c r="B463"/>
      <c r="C463"/>
    </row>
    <row r="464" spans="2:3" x14ac:dyDescent="0.3">
      <c r="B464"/>
      <c r="C464"/>
    </row>
    <row r="465" spans="2:3" x14ac:dyDescent="0.3">
      <c r="B465"/>
      <c r="C465"/>
    </row>
    <row r="466" spans="2:3" x14ac:dyDescent="0.3">
      <c r="B466"/>
      <c r="C466"/>
    </row>
    <row r="467" spans="2:3" x14ac:dyDescent="0.3">
      <c r="B467"/>
      <c r="C467"/>
    </row>
    <row r="468" spans="2:3" x14ac:dyDescent="0.3">
      <c r="B468"/>
      <c r="C468"/>
    </row>
    <row r="469" spans="2:3" x14ac:dyDescent="0.3">
      <c r="B469"/>
      <c r="C469"/>
    </row>
    <row r="470" spans="2:3" x14ac:dyDescent="0.3">
      <c r="B470"/>
      <c r="C470"/>
    </row>
    <row r="471" spans="2:3" x14ac:dyDescent="0.3">
      <c r="B471"/>
      <c r="C471"/>
    </row>
    <row r="472" spans="2:3" x14ac:dyDescent="0.3">
      <c r="B472"/>
      <c r="C472"/>
    </row>
    <row r="473" spans="2:3" x14ac:dyDescent="0.3">
      <c r="B473"/>
      <c r="C473"/>
    </row>
    <row r="474" spans="2:3" x14ac:dyDescent="0.3">
      <c r="B474"/>
      <c r="C474"/>
    </row>
    <row r="475" spans="2:3" x14ac:dyDescent="0.3">
      <c r="B475"/>
      <c r="C475"/>
    </row>
    <row r="476" spans="2:3" x14ac:dyDescent="0.3">
      <c r="B476"/>
      <c r="C476"/>
    </row>
    <row r="477" spans="2:3" x14ac:dyDescent="0.3">
      <c r="B477"/>
      <c r="C477"/>
    </row>
    <row r="478" spans="2:3" x14ac:dyDescent="0.3">
      <c r="B478"/>
      <c r="C478"/>
    </row>
    <row r="479" spans="2:3" x14ac:dyDescent="0.3">
      <c r="B479"/>
      <c r="C479"/>
    </row>
    <row r="480" spans="2:3" x14ac:dyDescent="0.3">
      <c r="B480"/>
      <c r="C480"/>
    </row>
    <row r="481" spans="2:3" x14ac:dyDescent="0.3">
      <c r="B481"/>
      <c r="C481"/>
    </row>
    <row r="482" spans="2:3" x14ac:dyDescent="0.3">
      <c r="B482"/>
      <c r="C482"/>
    </row>
    <row r="483" spans="2:3" x14ac:dyDescent="0.3">
      <c r="B483"/>
      <c r="C483"/>
    </row>
    <row r="484" spans="2:3" x14ac:dyDescent="0.3">
      <c r="B484"/>
      <c r="C484"/>
    </row>
    <row r="485" spans="2:3" x14ac:dyDescent="0.3">
      <c r="B485"/>
      <c r="C485"/>
    </row>
    <row r="486" spans="2:3" x14ac:dyDescent="0.3">
      <c r="B486"/>
      <c r="C486"/>
    </row>
    <row r="487" spans="2:3" x14ac:dyDescent="0.3">
      <c r="B487"/>
      <c r="C487"/>
    </row>
    <row r="488" spans="2:3" x14ac:dyDescent="0.3">
      <c r="B488"/>
      <c r="C488"/>
    </row>
    <row r="489" spans="2:3" x14ac:dyDescent="0.3">
      <c r="B489"/>
      <c r="C489"/>
    </row>
    <row r="490" spans="2:3" x14ac:dyDescent="0.3">
      <c r="B490"/>
      <c r="C490"/>
    </row>
    <row r="491" spans="2:3" x14ac:dyDescent="0.3">
      <c r="B491"/>
      <c r="C491"/>
    </row>
    <row r="492" spans="2:3" x14ac:dyDescent="0.3">
      <c r="B492"/>
      <c r="C492"/>
    </row>
    <row r="493" spans="2:3" x14ac:dyDescent="0.3">
      <c r="B493"/>
      <c r="C493"/>
    </row>
    <row r="494" spans="2:3" x14ac:dyDescent="0.3">
      <c r="B494"/>
      <c r="C494"/>
    </row>
    <row r="495" spans="2:3" x14ac:dyDescent="0.3">
      <c r="B495"/>
      <c r="C495"/>
    </row>
    <row r="496" spans="2:3" x14ac:dyDescent="0.3">
      <c r="B496"/>
      <c r="C496"/>
    </row>
    <row r="497" spans="2:3" x14ac:dyDescent="0.3">
      <c r="B497"/>
      <c r="C497"/>
    </row>
    <row r="498" spans="2:3" x14ac:dyDescent="0.3">
      <c r="B498"/>
      <c r="C498"/>
    </row>
    <row r="499" spans="2:3" x14ac:dyDescent="0.3">
      <c r="B499"/>
      <c r="C499"/>
    </row>
    <row r="500" spans="2:3" x14ac:dyDescent="0.3">
      <c r="B500"/>
      <c r="C500"/>
    </row>
    <row r="501" spans="2:3" x14ac:dyDescent="0.3">
      <c r="B501"/>
      <c r="C501"/>
    </row>
    <row r="502" spans="2:3" x14ac:dyDescent="0.3">
      <c r="B502"/>
      <c r="C502"/>
    </row>
    <row r="503" spans="2:3" x14ac:dyDescent="0.3">
      <c r="B503"/>
      <c r="C503"/>
    </row>
    <row r="504" spans="2:3" x14ac:dyDescent="0.3">
      <c r="B504"/>
      <c r="C504"/>
    </row>
    <row r="505" spans="2:3" x14ac:dyDescent="0.3">
      <c r="B505"/>
      <c r="C505"/>
    </row>
    <row r="506" spans="2:3" x14ac:dyDescent="0.3">
      <c r="B506"/>
      <c r="C506"/>
    </row>
    <row r="507" spans="2:3" x14ac:dyDescent="0.3">
      <c r="B507"/>
      <c r="C507"/>
    </row>
    <row r="508" spans="2:3" x14ac:dyDescent="0.3">
      <c r="B508"/>
      <c r="C508"/>
    </row>
    <row r="509" spans="2:3" x14ac:dyDescent="0.3">
      <c r="B509"/>
      <c r="C509"/>
    </row>
    <row r="510" spans="2:3" x14ac:dyDescent="0.3">
      <c r="B510"/>
      <c r="C510"/>
    </row>
    <row r="511" spans="2:3" x14ac:dyDescent="0.3">
      <c r="B511"/>
      <c r="C511"/>
    </row>
    <row r="512" spans="2:3" x14ac:dyDescent="0.3">
      <c r="B512"/>
      <c r="C512"/>
    </row>
    <row r="513" spans="2:3" x14ac:dyDescent="0.3">
      <c r="B513"/>
      <c r="C513"/>
    </row>
    <row r="514" spans="2:3" x14ac:dyDescent="0.3">
      <c r="B514"/>
      <c r="C514"/>
    </row>
    <row r="515" spans="2:3" x14ac:dyDescent="0.3">
      <c r="B515"/>
      <c r="C515"/>
    </row>
    <row r="516" spans="2:3" x14ac:dyDescent="0.3">
      <c r="B516"/>
      <c r="C516"/>
    </row>
    <row r="517" spans="2:3" x14ac:dyDescent="0.3">
      <c r="B517"/>
      <c r="C517"/>
    </row>
    <row r="518" spans="2:3" x14ac:dyDescent="0.3">
      <c r="B518"/>
      <c r="C518"/>
    </row>
    <row r="519" spans="2:3" x14ac:dyDescent="0.3">
      <c r="B519"/>
      <c r="C519"/>
    </row>
    <row r="520" spans="2:3" x14ac:dyDescent="0.3">
      <c r="B520"/>
      <c r="C520"/>
    </row>
    <row r="521" spans="2:3" x14ac:dyDescent="0.3">
      <c r="B521"/>
      <c r="C521"/>
    </row>
    <row r="522" spans="2:3" x14ac:dyDescent="0.3">
      <c r="B522"/>
      <c r="C522"/>
    </row>
    <row r="523" spans="2:3" x14ac:dyDescent="0.3">
      <c r="B523"/>
      <c r="C523"/>
    </row>
    <row r="524" spans="2:3" x14ac:dyDescent="0.3">
      <c r="B524"/>
      <c r="C524"/>
    </row>
    <row r="525" spans="2:3" x14ac:dyDescent="0.3">
      <c r="B525"/>
      <c r="C525"/>
    </row>
    <row r="526" spans="2:3" x14ac:dyDescent="0.3">
      <c r="B526"/>
      <c r="C526"/>
    </row>
    <row r="527" spans="2:3" x14ac:dyDescent="0.3">
      <c r="B527"/>
      <c r="C527"/>
    </row>
    <row r="528" spans="2:3" x14ac:dyDescent="0.3">
      <c r="B528"/>
      <c r="C528"/>
    </row>
    <row r="529" spans="2:3" x14ac:dyDescent="0.3">
      <c r="B529"/>
      <c r="C529"/>
    </row>
    <row r="530" spans="2:3" x14ac:dyDescent="0.3">
      <c r="B530"/>
      <c r="C530"/>
    </row>
    <row r="531" spans="2:3" x14ac:dyDescent="0.3">
      <c r="B531"/>
      <c r="C531"/>
    </row>
    <row r="532" spans="2:3" x14ac:dyDescent="0.3">
      <c r="B532"/>
      <c r="C532"/>
    </row>
    <row r="533" spans="2:3" x14ac:dyDescent="0.3">
      <c r="B533"/>
      <c r="C533"/>
    </row>
    <row r="534" spans="2:3" x14ac:dyDescent="0.3">
      <c r="B534"/>
      <c r="C534"/>
    </row>
    <row r="535" spans="2:3" x14ac:dyDescent="0.3">
      <c r="B535"/>
      <c r="C535"/>
    </row>
    <row r="536" spans="2:3" x14ac:dyDescent="0.3">
      <c r="B536"/>
      <c r="C536"/>
    </row>
    <row r="537" spans="2:3" x14ac:dyDescent="0.3">
      <c r="B537"/>
      <c r="C537"/>
    </row>
    <row r="538" spans="2:3" x14ac:dyDescent="0.3">
      <c r="B538"/>
      <c r="C538"/>
    </row>
    <row r="539" spans="2:3" x14ac:dyDescent="0.3">
      <c r="B539"/>
      <c r="C539"/>
    </row>
    <row r="540" spans="2:3" x14ac:dyDescent="0.3">
      <c r="B540"/>
      <c r="C540"/>
    </row>
    <row r="541" spans="2:3" x14ac:dyDescent="0.3">
      <c r="B541"/>
      <c r="C541"/>
    </row>
    <row r="542" spans="2:3" x14ac:dyDescent="0.3">
      <c r="B542"/>
      <c r="C542"/>
    </row>
    <row r="543" spans="2:3" x14ac:dyDescent="0.3">
      <c r="B543"/>
      <c r="C543"/>
    </row>
    <row r="544" spans="2:3" x14ac:dyDescent="0.3">
      <c r="B544"/>
      <c r="C544"/>
    </row>
    <row r="545" spans="2:3" x14ac:dyDescent="0.3">
      <c r="B545"/>
      <c r="C545"/>
    </row>
    <row r="546" spans="2:3" x14ac:dyDescent="0.3">
      <c r="B546"/>
      <c r="C546"/>
    </row>
    <row r="547" spans="2:3" x14ac:dyDescent="0.3">
      <c r="B547"/>
      <c r="C547"/>
    </row>
    <row r="548" spans="2:3" x14ac:dyDescent="0.3">
      <c r="B548"/>
      <c r="C548"/>
    </row>
    <row r="549" spans="2:3" x14ac:dyDescent="0.3">
      <c r="B549"/>
      <c r="C549"/>
    </row>
    <row r="550" spans="2:3" x14ac:dyDescent="0.3">
      <c r="B550"/>
      <c r="C550"/>
    </row>
    <row r="551" spans="2:3" x14ac:dyDescent="0.3">
      <c r="B551"/>
      <c r="C551"/>
    </row>
    <row r="552" spans="2:3" x14ac:dyDescent="0.3">
      <c r="B552"/>
      <c r="C552"/>
    </row>
    <row r="553" spans="2:3" x14ac:dyDescent="0.3">
      <c r="B553"/>
      <c r="C553"/>
    </row>
    <row r="554" spans="2:3" x14ac:dyDescent="0.3">
      <c r="B554"/>
      <c r="C554"/>
    </row>
    <row r="555" spans="2:3" x14ac:dyDescent="0.3">
      <c r="B555"/>
      <c r="C555"/>
    </row>
    <row r="556" spans="2:3" x14ac:dyDescent="0.3">
      <c r="B556"/>
      <c r="C556"/>
    </row>
    <row r="557" spans="2:3" x14ac:dyDescent="0.3">
      <c r="B557"/>
      <c r="C557"/>
    </row>
    <row r="558" spans="2:3" x14ac:dyDescent="0.3">
      <c r="B558"/>
      <c r="C558"/>
    </row>
    <row r="559" spans="2:3" x14ac:dyDescent="0.3">
      <c r="B559"/>
      <c r="C559"/>
    </row>
    <row r="560" spans="2:3" x14ac:dyDescent="0.3">
      <c r="B560"/>
      <c r="C560"/>
    </row>
    <row r="561" spans="2:3" x14ac:dyDescent="0.3">
      <c r="B561"/>
      <c r="C561"/>
    </row>
    <row r="562" spans="2:3" x14ac:dyDescent="0.3">
      <c r="B562"/>
      <c r="C562"/>
    </row>
    <row r="563" spans="2:3" x14ac:dyDescent="0.3">
      <c r="B563"/>
      <c r="C563"/>
    </row>
    <row r="564" spans="2:3" x14ac:dyDescent="0.3">
      <c r="B564"/>
      <c r="C564"/>
    </row>
    <row r="565" spans="2:3" x14ac:dyDescent="0.3">
      <c r="B565"/>
      <c r="C565"/>
    </row>
    <row r="566" spans="2:3" x14ac:dyDescent="0.3">
      <c r="B566"/>
      <c r="C566"/>
    </row>
    <row r="567" spans="2:3" x14ac:dyDescent="0.3">
      <c r="B567"/>
      <c r="C567"/>
    </row>
    <row r="568" spans="2:3" x14ac:dyDescent="0.3">
      <c r="B568"/>
      <c r="C568"/>
    </row>
    <row r="569" spans="2:3" x14ac:dyDescent="0.3">
      <c r="B569"/>
      <c r="C569"/>
    </row>
    <row r="570" spans="2:3" x14ac:dyDescent="0.3">
      <c r="B570"/>
      <c r="C570"/>
    </row>
    <row r="571" spans="2:3" x14ac:dyDescent="0.3">
      <c r="B571"/>
      <c r="C571"/>
    </row>
    <row r="572" spans="2:3" x14ac:dyDescent="0.3">
      <c r="B572"/>
      <c r="C572"/>
    </row>
    <row r="573" spans="2:3" x14ac:dyDescent="0.3">
      <c r="B573"/>
      <c r="C573"/>
    </row>
    <row r="574" spans="2:3" x14ac:dyDescent="0.3">
      <c r="B574"/>
      <c r="C574"/>
    </row>
    <row r="575" spans="2:3" x14ac:dyDescent="0.3">
      <c r="B575"/>
      <c r="C575"/>
    </row>
    <row r="576" spans="2:3" x14ac:dyDescent="0.3">
      <c r="B576"/>
      <c r="C576"/>
    </row>
    <row r="577" spans="2:3" x14ac:dyDescent="0.3">
      <c r="B577"/>
      <c r="C577"/>
    </row>
    <row r="578" spans="2:3" x14ac:dyDescent="0.3">
      <c r="B578"/>
      <c r="C578"/>
    </row>
    <row r="579" spans="2:3" x14ac:dyDescent="0.3">
      <c r="B579"/>
      <c r="C579"/>
    </row>
    <row r="580" spans="2:3" x14ac:dyDescent="0.3">
      <c r="B580"/>
      <c r="C580"/>
    </row>
    <row r="581" spans="2:3" x14ac:dyDescent="0.3">
      <c r="B581"/>
      <c r="C581"/>
    </row>
    <row r="582" spans="2:3" x14ac:dyDescent="0.3">
      <c r="B582"/>
      <c r="C582"/>
    </row>
    <row r="583" spans="2:3" x14ac:dyDescent="0.3">
      <c r="B583"/>
      <c r="C583"/>
    </row>
    <row r="584" spans="2:3" x14ac:dyDescent="0.3">
      <c r="B584"/>
      <c r="C584"/>
    </row>
    <row r="585" spans="2:3" x14ac:dyDescent="0.3">
      <c r="B585"/>
      <c r="C585"/>
    </row>
    <row r="586" spans="2:3" x14ac:dyDescent="0.3">
      <c r="B586"/>
      <c r="C586"/>
    </row>
    <row r="587" spans="2:3" x14ac:dyDescent="0.3">
      <c r="B587"/>
      <c r="C587"/>
    </row>
    <row r="588" spans="2:3" x14ac:dyDescent="0.3">
      <c r="B588"/>
      <c r="C588"/>
    </row>
    <row r="589" spans="2:3" x14ac:dyDescent="0.3">
      <c r="B589"/>
      <c r="C589"/>
    </row>
    <row r="590" spans="2:3" x14ac:dyDescent="0.3">
      <c r="B590"/>
      <c r="C590"/>
    </row>
    <row r="591" spans="2:3" x14ac:dyDescent="0.3">
      <c r="B591"/>
      <c r="C591"/>
    </row>
    <row r="592" spans="2:3" x14ac:dyDescent="0.3">
      <c r="B592"/>
      <c r="C592"/>
    </row>
    <row r="593" spans="2:3" x14ac:dyDescent="0.3">
      <c r="B593"/>
      <c r="C593"/>
    </row>
    <row r="594" spans="2:3" x14ac:dyDescent="0.3">
      <c r="B594"/>
      <c r="C594"/>
    </row>
    <row r="595" spans="2:3" x14ac:dyDescent="0.3">
      <c r="B595"/>
      <c r="C595"/>
    </row>
    <row r="596" spans="2:3" x14ac:dyDescent="0.3">
      <c r="B596"/>
      <c r="C596"/>
    </row>
    <row r="597" spans="2:3" x14ac:dyDescent="0.3">
      <c r="B597"/>
      <c r="C597"/>
    </row>
    <row r="598" spans="2:3" x14ac:dyDescent="0.3">
      <c r="B598"/>
      <c r="C598"/>
    </row>
    <row r="599" spans="2:3" x14ac:dyDescent="0.3">
      <c r="B599"/>
      <c r="C599"/>
    </row>
    <row r="600" spans="2:3" x14ac:dyDescent="0.3">
      <c r="B600"/>
      <c r="C600"/>
    </row>
    <row r="601" spans="2:3" x14ac:dyDescent="0.3">
      <c r="B601"/>
      <c r="C601"/>
    </row>
    <row r="602" spans="2:3" x14ac:dyDescent="0.3">
      <c r="B602"/>
      <c r="C602"/>
    </row>
    <row r="603" spans="2:3" x14ac:dyDescent="0.3">
      <c r="B603"/>
      <c r="C603"/>
    </row>
    <row r="604" spans="2:3" x14ac:dyDescent="0.3">
      <c r="B604"/>
      <c r="C604"/>
    </row>
    <row r="605" spans="2:3" x14ac:dyDescent="0.3">
      <c r="B605"/>
      <c r="C605"/>
    </row>
    <row r="606" spans="2:3" x14ac:dyDescent="0.3">
      <c r="B606"/>
      <c r="C606"/>
    </row>
    <row r="607" spans="2:3" x14ac:dyDescent="0.3">
      <c r="B607"/>
      <c r="C607"/>
    </row>
    <row r="608" spans="2:3" x14ac:dyDescent="0.3">
      <c r="B608"/>
      <c r="C608"/>
    </row>
    <row r="609" spans="2:3" x14ac:dyDescent="0.3">
      <c r="B609"/>
      <c r="C609"/>
    </row>
    <row r="610" spans="2:3" x14ac:dyDescent="0.3">
      <c r="B610"/>
      <c r="C610"/>
    </row>
    <row r="611" spans="2:3" x14ac:dyDescent="0.3">
      <c r="B611"/>
      <c r="C611"/>
    </row>
    <row r="612" spans="2:3" x14ac:dyDescent="0.3">
      <c r="B612"/>
      <c r="C612"/>
    </row>
    <row r="613" spans="2:3" x14ac:dyDescent="0.3">
      <c r="B613"/>
      <c r="C613"/>
    </row>
    <row r="614" spans="2:3" x14ac:dyDescent="0.3">
      <c r="B614"/>
      <c r="C614"/>
    </row>
    <row r="615" spans="2:3" x14ac:dyDescent="0.3">
      <c r="B615"/>
      <c r="C615"/>
    </row>
    <row r="616" spans="2:3" x14ac:dyDescent="0.3">
      <c r="B616"/>
      <c r="C616"/>
    </row>
    <row r="617" spans="2:3" x14ac:dyDescent="0.3">
      <c r="B617"/>
      <c r="C617"/>
    </row>
    <row r="618" spans="2:3" x14ac:dyDescent="0.3">
      <c r="B618"/>
      <c r="C618"/>
    </row>
    <row r="619" spans="2:3" x14ac:dyDescent="0.3">
      <c r="B619"/>
      <c r="C619"/>
    </row>
    <row r="620" spans="2:3" x14ac:dyDescent="0.3">
      <c r="B620"/>
      <c r="C620"/>
    </row>
    <row r="621" spans="2:3" x14ac:dyDescent="0.3">
      <c r="B621"/>
      <c r="C621"/>
    </row>
    <row r="622" spans="2:3" x14ac:dyDescent="0.3">
      <c r="B622"/>
      <c r="C622"/>
    </row>
    <row r="623" spans="2:3" x14ac:dyDescent="0.3">
      <c r="B623"/>
      <c r="C623"/>
    </row>
    <row r="624" spans="2:3" x14ac:dyDescent="0.3">
      <c r="B624"/>
      <c r="C624"/>
    </row>
    <row r="625" spans="2:3" x14ac:dyDescent="0.3">
      <c r="B625"/>
      <c r="C625"/>
    </row>
    <row r="626" spans="2:3" x14ac:dyDescent="0.3">
      <c r="B626"/>
      <c r="C626"/>
    </row>
    <row r="627" spans="2:3" x14ac:dyDescent="0.3">
      <c r="B627"/>
      <c r="C627"/>
    </row>
    <row r="628" spans="2:3" x14ac:dyDescent="0.3">
      <c r="B628"/>
      <c r="C628"/>
    </row>
    <row r="629" spans="2:3" x14ac:dyDescent="0.3">
      <c r="B629"/>
      <c r="C629"/>
    </row>
    <row r="630" spans="2:3" x14ac:dyDescent="0.3">
      <c r="B630"/>
      <c r="C630"/>
    </row>
    <row r="631" spans="2:3" x14ac:dyDescent="0.3">
      <c r="B631"/>
      <c r="C631"/>
    </row>
    <row r="632" spans="2:3" x14ac:dyDescent="0.3">
      <c r="B632"/>
      <c r="C632"/>
    </row>
    <row r="633" spans="2:3" x14ac:dyDescent="0.3">
      <c r="B633"/>
      <c r="C633"/>
    </row>
    <row r="634" spans="2:3" x14ac:dyDescent="0.3">
      <c r="B634"/>
      <c r="C634"/>
    </row>
    <row r="635" spans="2:3" x14ac:dyDescent="0.3">
      <c r="B635"/>
      <c r="C635"/>
    </row>
    <row r="636" spans="2:3" x14ac:dyDescent="0.3">
      <c r="B636"/>
      <c r="C636"/>
    </row>
    <row r="637" spans="2:3" x14ac:dyDescent="0.3">
      <c r="B637"/>
      <c r="C637"/>
    </row>
    <row r="638" spans="2:3" x14ac:dyDescent="0.3">
      <c r="B638"/>
      <c r="C638"/>
    </row>
    <row r="639" spans="2:3" x14ac:dyDescent="0.3">
      <c r="B639"/>
      <c r="C639"/>
    </row>
    <row r="640" spans="2:3" x14ac:dyDescent="0.3">
      <c r="B640"/>
      <c r="C640"/>
    </row>
    <row r="641" spans="2:3" x14ac:dyDescent="0.3">
      <c r="B641"/>
      <c r="C641"/>
    </row>
    <row r="642" spans="2:3" x14ac:dyDescent="0.3">
      <c r="B642"/>
      <c r="C642"/>
    </row>
    <row r="643" spans="2:3" x14ac:dyDescent="0.3">
      <c r="B643"/>
      <c r="C643"/>
    </row>
    <row r="644" spans="2:3" x14ac:dyDescent="0.3">
      <c r="B644"/>
      <c r="C644"/>
    </row>
    <row r="645" spans="2:3" x14ac:dyDescent="0.3">
      <c r="B645"/>
      <c r="C645"/>
    </row>
    <row r="646" spans="2:3" x14ac:dyDescent="0.3">
      <c r="B646"/>
      <c r="C646"/>
    </row>
    <row r="647" spans="2:3" x14ac:dyDescent="0.3">
      <c r="B647"/>
      <c r="C647"/>
    </row>
    <row r="648" spans="2:3" x14ac:dyDescent="0.3">
      <c r="B648"/>
      <c r="C648"/>
    </row>
    <row r="649" spans="2:3" x14ac:dyDescent="0.3">
      <c r="B649"/>
      <c r="C649"/>
    </row>
    <row r="650" spans="2:3" x14ac:dyDescent="0.3">
      <c r="B650"/>
      <c r="C650"/>
    </row>
    <row r="651" spans="2:3" x14ac:dyDescent="0.3">
      <c r="B651"/>
      <c r="C651"/>
    </row>
    <row r="652" spans="2:3" x14ac:dyDescent="0.3">
      <c r="B652"/>
      <c r="C652"/>
    </row>
    <row r="653" spans="2:3" x14ac:dyDescent="0.3">
      <c r="B653"/>
      <c r="C653"/>
    </row>
    <row r="654" spans="2:3" x14ac:dyDescent="0.3">
      <c r="B654"/>
      <c r="C654"/>
    </row>
    <row r="655" spans="2:3" x14ac:dyDescent="0.3">
      <c r="B655"/>
      <c r="C655"/>
    </row>
    <row r="656" spans="2:3" x14ac:dyDescent="0.3">
      <c r="B656"/>
      <c r="C656"/>
    </row>
    <row r="657" spans="2:3" x14ac:dyDescent="0.3">
      <c r="B657"/>
      <c r="C657"/>
    </row>
    <row r="658" spans="2:3" x14ac:dyDescent="0.3">
      <c r="B658"/>
      <c r="C658"/>
    </row>
    <row r="659" spans="2:3" x14ac:dyDescent="0.3">
      <c r="B659"/>
      <c r="C659"/>
    </row>
    <row r="660" spans="2:3" x14ac:dyDescent="0.3">
      <c r="B660"/>
      <c r="C660"/>
    </row>
    <row r="661" spans="2:3" x14ac:dyDescent="0.3">
      <c r="B661"/>
      <c r="C661"/>
    </row>
    <row r="662" spans="2:3" x14ac:dyDescent="0.3">
      <c r="B662"/>
      <c r="C662"/>
    </row>
    <row r="663" spans="2:3" x14ac:dyDescent="0.3">
      <c r="B663"/>
      <c r="C663"/>
    </row>
    <row r="664" spans="2:3" x14ac:dyDescent="0.3">
      <c r="B664"/>
      <c r="C664"/>
    </row>
    <row r="665" spans="2:3" x14ac:dyDescent="0.3">
      <c r="B665"/>
      <c r="C665"/>
    </row>
    <row r="666" spans="2:3" x14ac:dyDescent="0.3">
      <c r="B666"/>
      <c r="C666"/>
    </row>
    <row r="667" spans="2:3" x14ac:dyDescent="0.3">
      <c r="B667"/>
      <c r="C667"/>
    </row>
    <row r="668" spans="2:3" x14ac:dyDescent="0.3">
      <c r="B668"/>
      <c r="C668"/>
    </row>
    <row r="669" spans="2:3" x14ac:dyDescent="0.3">
      <c r="B669"/>
      <c r="C669"/>
    </row>
    <row r="670" spans="2:3" x14ac:dyDescent="0.3">
      <c r="B670"/>
      <c r="C670"/>
    </row>
    <row r="671" spans="2:3" x14ac:dyDescent="0.3">
      <c r="B671"/>
      <c r="C671"/>
    </row>
    <row r="672" spans="2:3" x14ac:dyDescent="0.3">
      <c r="B672"/>
      <c r="C672"/>
    </row>
    <row r="673" spans="2:3" x14ac:dyDescent="0.3">
      <c r="B673"/>
      <c r="C673"/>
    </row>
    <row r="674" spans="2:3" x14ac:dyDescent="0.3">
      <c r="B674"/>
      <c r="C674"/>
    </row>
    <row r="675" spans="2:3" x14ac:dyDescent="0.3">
      <c r="B675"/>
      <c r="C675"/>
    </row>
    <row r="676" spans="2:3" x14ac:dyDescent="0.3">
      <c r="B676"/>
      <c r="C676"/>
    </row>
    <row r="677" spans="2:3" x14ac:dyDescent="0.3">
      <c r="B677"/>
      <c r="C677"/>
    </row>
    <row r="678" spans="2:3" x14ac:dyDescent="0.3">
      <c r="B678"/>
      <c r="C678"/>
    </row>
    <row r="679" spans="2:3" x14ac:dyDescent="0.3">
      <c r="B679"/>
      <c r="C679"/>
    </row>
    <row r="680" spans="2:3" x14ac:dyDescent="0.3">
      <c r="B680"/>
      <c r="C680"/>
    </row>
    <row r="681" spans="2:3" x14ac:dyDescent="0.3">
      <c r="B681"/>
      <c r="C681"/>
    </row>
    <row r="682" spans="2:3" x14ac:dyDescent="0.3">
      <c r="B682"/>
      <c r="C682"/>
    </row>
    <row r="683" spans="2:3" x14ac:dyDescent="0.3">
      <c r="B683"/>
      <c r="C683"/>
    </row>
    <row r="684" spans="2:3" x14ac:dyDescent="0.3">
      <c r="B684"/>
      <c r="C684"/>
    </row>
    <row r="685" spans="2:3" x14ac:dyDescent="0.3">
      <c r="B685"/>
      <c r="C685"/>
    </row>
    <row r="686" spans="2:3" x14ac:dyDescent="0.3">
      <c r="B686"/>
      <c r="C686"/>
    </row>
    <row r="687" spans="2:3" x14ac:dyDescent="0.3">
      <c r="B687"/>
      <c r="C687"/>
    </row>
    <row r="688" spans="2:3" x14ac:dyDescent="0.3">
      <c r="B688"/>
      <c r="C688"/>
    </row>
    <row r="689" spans="2:3" x14ac:dyDescent="0.3">
      <c r="B689"/>
      <c r="C689"/>
    </row>
    <row r="690" spans="2:3" x14ac:dyDescent="0.3">
      <c r="B690"/>
      <c r="C690"/>
    </row>
    <row r="691" spans="2:3" x14ac:dyDescent="0.3">
      <c r="B691"/>
      <c r="C691"/>
    </row>
    <row r="692" spans="2:3" x14ac:dyDescent="0.3">
      <c r="B692"/>
      <c r="C692"/>
    </row>
    <row r="693" spans="2:3" x14ac:dyDescent="0.3">
      <c r="B693"/>
      <c r="C693"/>
    </row>
    <row r="694" spans="2:3" x14ac:dyDescent="0.3">
      <c r="B694"/>
      <c r="C694"/>
    </row>
    <row r="695" spans="2:3" x14ac:dyDescent="0.3">
      <c r="B695"/>
      <c r="C695"/>
    </row>
    <row r="696" spans="2:3" x14ac:dyDescent="0.3">
      <c r="B696"/>
      <c r="C696"/>
    </row>
    <row r="697" spans="2:3" x14ac:dyDescent="0.3">
      <c r="B697"/>
      <c r="C697"/>
    </row>
    <row r="698" spans="2:3" x14ac:dyDescent="0.3">
      <c r="B698"/>
      <c r="C698"/>
    </row>
    <row r="699" spans="2:3" x14ac:dyDescent="0.3">
      <c r="B699"/>
      <c r="C699"/>
    </row>
    <row r="700" spans="2:3" x14ac:dyDescent="0.3">
      <c r="B700"/>
      <c r="C700"/>
    </row>
    <row r="701" spans="2:3" x14ac:dyDescent="0.3">
      <c r="B701"/>
      <c r="C701"/>
    </row>
    <row r="702" spans="2:3" x14ac:dyDescent="0.3">
      <c r="B702"/>
      <c r="C702"/>
    </row>
    <row r="703" spans="2:3" x14ac:dyDescent="0.3">
      <c r="B703"/>
      <c r="C703"/>
    </row>
    <row r="704" spans="2:3" x14ac:dyDescent="0.3">
      <c r="B704"/>
      <c r="C704"/>
    </row>
    <row r="705" spans="2:3" x14ac:dyDescent="0.3">
      <c r="B705"/>
      <c r="C705"/>
    </row>
    <row r="706" spans="2:3" x14ac:dyDescent="0.3">
      <c r="B706"/>
      <c r="C706"/>
    </row>
    <row r="707" spans="2:3" x14ac:dyDescent="0.3">
      <c r="B707"/>
      <c r="C707"/>
    </row>
    <row r="708" spans="2:3" x14ac:dyDescent="0.3">
      <c r="B708"/>
      <c r="C708"/>
    </row>
    <row r="709" spans="2:3" x14ac:dyDescent="0.3">
      <c r="B709"/>
      <c r="C709"/>
    </row>
    <row r="710" spans="2:3" x14ac:dyDescent="0.3">
      <c r="B710"/>
      <c r="C710"/>
    </row>
    <row r="711" spans="2:3" x14ac:dyDescent="0.3">
      <c r="B711"/>
      <c r="C711"/>
    </row>
    <row r="712" spans="2:3" x14ac:dyDescent="0.3">
      <c r="B712"/>
      <c r="C712"/>
    </row>
    <row r="713" spans="2:3" x14ac:dyDescent="0.3">
      <c r="B713"/>
      <c r="C713"/>
    </row>
    <row r="714" spans="2:3" x14ac:dyDescent="0.3">
      <c r="B714"/>
      <c r="C714"/>
    </row>
    <row r="715" spans="2:3" x14ac:dyDescent="0.3">
      <c r="B715"/>
      <c r="C715"/>
    </row>
    <row r="716" spans="2:3" x14ac:dyDescent="0.3">
      <c r="B716"/>
      <c r="C716"/>
    </row>
    <row r="717" spans="2:3" x14ac:dyDescent="0.3">
      <c r="B717"/>
      <c r="C717"/>
    </row>
    <row r="718" spans="2:3" x14ac:dyDescent="0.3">
      <c r="B718"/>
      <c r="C718"/>
    </row>
    <row r="719" spans="2:3" x14ac:dyDescent="0.3">
      <c r="B719"/>
      <c r="C719"/>
    </row>
    <row r="720" spans="2:3" x14ac:dyDescent="0.3">
      <c r="B720"/>
      <c r="C720"/>
    </row>
    <row r="721" spans="2:3" x14ac:dyDescent="0.3">
      <c r="B721"/>
      <c r="C721"/>
    </row>
    <row r="722" spans="2:3" x14ac:dyDescent="0.3">
      <c r="B722"/>
      <c r="C722"/>
    </row>
    <row r="723" spans="2:3" x14ac:dyDescent="0.3">
      <c r="B723"/>
      <c r="C723"/>
    </row>
    <row r="724" spans="2:3" x14ac:dyDescent="0.3">
      <c r="B724"/>
      <c r="C724"/>
    </row>
    <row r="725" spans="2:3" x14ac:dyDescent="0.3">
      <c r="B725"/>
      <c r="C725"/>
    </row>
    <row r="726" spans="2:3" x14ac:dyDescent="0.3">
      <c r="B726"/>
      <c r="C726"/>
    </row>
    <row r="727" spans="2:3" x14ac:dyDescent="0.3">
      <c r="B727"/>
      <c r="C727"/>
    </row>
    <row r="728" spans="2:3" x14ac:dyDescent="0.3">
      <c r="B728"/>
      <c r="C728"/>
    </row>
    <row r="729" spans="2:3" x14ac:dyDescent="0.3">
      <c r="B729"/>
      <c r="C729"/>
    </row>
    <row r="730" spans="2:3" x14ac:dyDescent="0.3">
      <c r="B730"/>
      <c r="C730"/>
    </row>
    <row r="731" spans="2:3" x14ac:dyDescent="0.3">
      <c r="B731"/>
      <c r="C731"/>
    </row>
    <row r="732" spans="2:3" x14ac:dyDescent="0.3">
      <c r="B732"/>
      <c r="C732"/>
    </row>
    <row r="733" spans="2:3" x14ac:dyDescent="0.3">
      <c r="B733"/>
      <c r="C733"/>
    </row>
    <row r="734" spans="2:3" x14ac:dyDescent="0.3">
      <c r="B734"/>
      <c r="C734"/>
    </row>
    <row r="735" spans="2:3" x14ac:dyDescent="0.3">
      <c r="B735"/>
      <c r="C735"/>
    </row>
    <row r="736" spans="2:3" x14ac:dyDescent="0.3">
      <c r="B736"/>
      <c r="C736"/>
    </row>
    <row r="737" spans="2:3" x14ac:dyDescent="0.3">
      <c r="B737"/>
      <c r="C737"/>
    </row>
    <row r="738" spans="2:3" x14ac:dyDescent="0.3">
      <c r="B738"/>
      <c r="C738"/>
    </row>
    <row r="739" spans="2:3" x14ac:dyDescent="0.3">
      <c r="B739"/>
      <c r="C739"/>
    </row>
    <row r="740" spans="2:3" x14ac:dyDescent="0.3">
      <c r="B740"/>
      <c r="C740"/>
    </row>
    <row r="741" spans="2:3" x14ac:dyDescent="0.3">
      <c r="B741"/>
      <c r="C741"/>
    </row>
    <row r="742" spans="2:3" x14ac:dyDescent="0.3">
      <c r="B742"/>
      <c r="C742"/>
    </row>
    <row r="743" spans="2:3" x14ac:dyDescent="0.3">
      <c r="B743"/>
      <c r="C743"/>
    </row>
    <row r="744" spans="2:3" x14ac:dyDescent="0.3">
      <c r="B744"/>
      <c r="C744"/>
    </row>
    <row r="745" spans="2:3" x14ac:dyDescent="0.3">
      <c r="B745"/>
      <c r="C745"/>
    </row>
    <row r="746" spans="2:3" x14ac:dyDescent="0.3">
      <c r="B746"/>
      <c r="C746"/>
    </row>
    <row r="747" spans="2:3" x14ac:dyDescent="0.3">
      <c r="B747"/>
      <c r="C747"/>
    </row>
    <row r="748" spans="2:3" x14ac:dyDescent="0.3">
      <c r="B748"/>
      <c r="C748"/>
    </row>
    <row r="749" spans="2:3" x14ac:dyDescent="0.3">
      <c r="B749"/>
      <c r="C749"/>
    </row>
    <row r="750" spans="2:3" x14ac:dyDescent="0.3">
      <c r="B750"/>
      <c r="C750"/>
    </row>
    <row r="751" spans="2:3" x14ac:dyDescent="0.3">
      <c r="B751"/>
      <c r="C751"/>
    </row>
    <row r="752" spans="2:3" x14ac:dyDescent="0.3">
      <c r="B752"/>
      <c r="C752"/>
    </row>
    <row r="753" spans="2:3" x14ac:dyDescent="0.3">
      <c r="B753"/>
      <c r="C753"/>
    </row>
    <row r="754" spans="2:3" x14ac:dyDescent="0.3">
      <c r="B754"/>
      <c r="C754"/>
    </row>
    <row r="755" spans="2:3" x14ac:dyDescent="0.3">
      <c r="B755"/>
      <c r="C755"/>
    </row>
    <row r="756" spans="2:3" x14ac:dyDescent="0.3">
      <c r="B756"/>
      <c r="C756"/>
    </row>
    <row r="757" spans="2:3" x14ac:dyDescent="0.3">
      <c r="B757"/>
      <c r="C757"/>
    </row>
    <row r="758" spans="2:3" x14ac:dyDescent="0.3">
      <c r="B758"/>
      <c r="C758"/>
    </row>
    <row r="759" spans="2:3" x14ac:dyDescent="0.3">
      <c r="B759"/>
      <c r="C759"/>
    </row>
    <row r="760" spans="2:3" x14ac:dyDescent="0.3">
      <c r="B760"/>
      <c r="C760"/>
    </row>
    <row r="761" spans="2:3" x14ac:dyDescent="0.3">
      <c r="B761"/>
      <c r="C761"/>
    </row>
    <row r="762" spans="2:3" x14ac:dyDescent="0.3">
      <c r="B762"/>
      <c r="C762"/>
    </row>
    <row r="763" spans="2:3" x14ac:dyDescent="0.3">
      <c r="B763"/>
      <c r="C763"/>
    </row>
    <row r="764" spans="2:3" x14ac:dyDescent="0.3">
      <c r="B764"/>
      <c r="C764"/>
    </row>
    <row r="765" spans="2:3" x14ac:dyDescent="0.3">
      <c r="B765"/>
      <c r="C765"/>
    </row>
    <row r="766" spans="2:3" x14ac:dyDescent="0.3">
      <c r="B766"/>
      <c r="C766"/>
    </row>
    <row r="767" spans="2:3" x14ac:dyDescent="0.3">
      <c r="B767"/>
      <c r="C767"/>
    </row>
    <row r="768" spans="2:3" x14ac:dyDescent="0.3">
      <c r="B768"/>
      <c r="C768"/>
    </row>
    <row r="769" spans="2:3" x14ac:dyDescent="0.3">
      <c r="B769"/>
      <c r="C769"/>
    </row>
    <row r="770" spans="2:3" x14ac:dyDescent="0.3">
      <c r="B770"/>
      <c r="C770"/>
    </row>
    <row r="771" spans="2:3" x14ac:dyDescent="0.3">
      <c r="B771"/>
      <c r="C771"/>
    </row>
    <row r="772" spans="2:3" x14ac:dyDescent="0.3">
      <c r="B772"/>
      <c r="C772"/>
    </row>
    <row r="773" spans="2:3" x14ac:dyDescent="0.3">
      <c r="B773"/>
      <c r="C773"/>
    </row>
    <row r="774" spans="2:3" x14ac:dyDescent="0.3">
      <c r="B774"/>
      <c r="C774"/>
    </row>
    <row r="775" spans="2:3" x14ac:dyDescent="0.3">
      <c r="B775"/>
      <c r="C775"/>
    </row>
    <row r="776" spans="2:3" x14ac:dyDescent="0.3">
      <c r="B776"/>
      <c r="C776"/>
    </row>
    <row r="777" spans="2:3" x14ac:dyDescent="0.3">
      <c r="B777"/>
      <c r="C777"/>
    </row>
    <row r="778" spans="2:3" x14ac:dyDescent="0.3">
      <c r="B778"/>
      <c r="C778"/>
    </row>
    <row r="779" spans="2:3" x14ac:dyDescent="0.3">
      <c r="B779"/>
      <c r="C779"/>
    </row>
    <row r="780" spans="2:3" x14ac:dyDescent="0.3">
      <c r="B780"/>
      <c r="C780"/>
    </row>
    <row r="781" spans="2:3" x14ac:dyDescent="0.3">
      <c r="B781"/>
      <c r="C781"/>
    </row>
    <row r="782" spans="2:3" x14ac:dyDescent="0.3">
      <c r="B782"/>
      <c r="C782"/>
    </row>
    <row r="783" spans="2:3" x14ac:dyDescent="0.3">
      <c r="B783"/>
      <c r="C783"/>
    </row>
    <row r="784" spans="2:3" x14ac:dyDescent="0.3">
      <c r="B784"/>
      <c r="C784"/>
    </row>
    <row r="785" spans="2:3" x14ac:dyDescent="0.3">
      <c r="B785"/>
      <c r="C785"/>
    </row>
    <row r="786" spans="2:3" x14ac:dyDescent="0.3">
      <c r="B786"/>
      <c r="C786"/>
    </row>
    <row r="787" spans="2:3" x14ac:dyDescent="0.3">
      <c r="B787"/>
      <c r="C787"/>
    </row>
    <row r="788" spans="2:3" x14ac:dyDescent="0.3">
      <c r="B788"/>
      <c r="C788"/>
    </row>
    <row r="789" spans="2:3" x14ac:dyDescent="0.3">
      <c r="B789"/>
      <c r="C789"/>
    </row>
    <row r="790" spans="2:3" x14ac:dyDescent="0.3">
      <c r="B790"/>
      <c r="C790"/>
    </row>
    <row r="791" spans="2:3" x14ac:dyDescent="0.3">
      <c r="B791"/>
      <c r="C791"/>
    </row>
    <row r="792" spans="2:3" x14ac:dyDescent="0.3">
      <c r="B792"/>
      <c r="C792"/>
    </row>
    <row r="793" spans="2:3" x14ac:dyDescent="0.3">
      <c r="B793"/>
      <c r="C793"/>
    </row>
    <row r="794" spans="2:3" x14ac:dyDescent="0.3">
      <c r="B794"/>
      <c r="C794"/>
    </row>
    <row r="795" spans="2:3" x14ac:dyDescent="0.3">
      <c r="B795"/>
      <c r="C795"/>
    </row>
    <row r="796" spans="2:3" x14ac:dyDescent="0.3">
      <c r="B796"/>
      <c r="C796"/>
    </row>
    <row r="797" spans="2:3" x14ac:dyDescent="0.3">
      <c r="B797"/>
      <c r="C797"/>
    </row>
    <row r="798" spans="2:3" x14ac:dyDescent="0.3">
      <c r="B798"/>
      <c r="C798"/>
    </row>
    <row r="799" spans="2:3" x14ac:dyDescent="0.3">
      <c r="B799"/>
      <c r="C799"/>
    </row>
    <row r="800" spans="2:3" x14ac:dyDescent="0.3">
      <c r="B800"/>
      <c r="C800"/>
    </row>
    <row r="801" spans="2:3" x14ac:dyDescent="0.3">
      <c r="B801"/>
      <c r="C801"/>
    </row>
    <row r="802" spans="2:3" x14ac:dyDescent="0.3">
      <c r="B802"/>
      <c r="C802"/>
    </row>
    <row r="803" spans="2:3" x14ac:dyDescent="0.3">
      <c r="B803"/>
      <c r="C803"/>
    </row>
    <row r="804" spans="2:3" x14ac:dyDescent="0.3">
      <c r="B804"/>
      <c r="C804"/>
    </row>
    <row r="805" spans="2:3" x14ac:dyDescent="0.3">
      <c r="B805"/>
      <c r="C805"/>
    </row>
    <row r="806" spans="2:3" x14ac:dyDescent="0.3">
      <c r="B806"/>
      <c r="C806"/>
    </row>
    <row r="807" spans="2:3" x14ac:dyDescent="0.3">
      <c r="B807"/>
      <c r="C807"/>
    </row>
    <row r="808" spans="2:3" x14ac:dyDescent="0.3">
      <c r="B808"/>
      <c r="C808"/>
    </row>
    <row r="809" spans="2:3" x14ac:dyDescent="0.3">
      <c r="B809"/>
      <c r="C809"/>
    </row>
    <row r="810" spans="2:3" x14ac:dyDescent="0.3">
      <c r="B810"/>
      <c r="C810"/>
    </row>
    <row r="811" spans="2:3" x14ac:dyDescent="0.3">
      <c r="B811"/>
      <c r="C811"/>
    </row>
    <row r="812" spans="2:3" x14ac:dyDescent="0.3">
      <c r="B812"/>
      <c r="C812"/>
    </row>
    <row r="813" spans="2:3" x14ac:dyDescent="0.3">
      <c r="B813"/>
      <c r="C813"/>
    </row>
    <row r="814" spans="2:3" x14ac:dyDescent="0.3">
      <c r="B814"/>
      <c r="C814"/>
    </row>
    <row r="815" spans="2:3" x14ac:dyDescent="0.3">
      <c r="B815"/>
      <c r="C815"/>
    </row>
    <row r="816" spans="2:3" x14ac:dyDescent="0.3">
      <c r="B816"/>
      <c r="C816"/>
    </row>
    <row r="817" spans="2:3" x14ac:dyDescent="0.3">
      <c r="B817"/>
      <c r="C817"/>
    </row>
    <row r="818" spans="2:3" x14ac:dyDescent="0.3">
      <c r="B818"/>
      <c r="C818"/>
    </row>
    <row r="819" spans="2:3" x14ac:dyDescent="0.3">
      <c r="B819"/>
      <c r="C819"/>
    </row>
    <row r="820" spans="2:3" x14ac:dyDescent="0.3">
      <c r="B820"/>
      <c r="C820"/>
    </row>
    <row r="821" spans="2:3" x14ac:dyDescent="0.3">
      <c r="B821"/>
      <c r="C821"/>
    </row>
    <row r="822" spans="2:3" x14ac:dyDescent="0.3">
      <c r="B822"/>
      <c r="C822"/>
    </row>
    <row r="823" spans="2:3" x14ac:dyDescent="0.3">
      <c r="B823"/>
      <c r="C823"/>
    </row>
    <row r="824" spans="2:3" x14ac:dyDescent="0.3">
      <c r="B824"/>
      <c r="C824"/>
    </row>
    <row r="825" spans="2:3" x14ac:dyDescent="0.3">
      <c r="B825"/>
      <c r="C825"/>
    </row>
    <row r="826" spans="2:3" x14ac:dyDescent="0.3">
      <c r="B826"/>
      <c r="C826"/>
    </row>
    <row r="827" spans="2:3" x14ac:dyDescent="0.3">
      <c r="B827"/>
      <c r="C827"/>
    </row>
    <row r="828" spans="2:3" x14ac:dyDescent="0.3">
      <c r="B828"/>
      <c r="C828"/>
    </row>
    <row r="829" spans="2:3" x14ac:dyDescent="0.3">
      <c r="B829"/>
      <c r="C829"/>
    </row>
    <row r="830" spans="2:3" x14ac:dyDescent="0.3">
      <c r="B830"/>
      <c r="C830"/>
    </row>
    <row r="831" spans="2:3" x14ac:dyDescent="0.3">
      <c r="B831"/>
      <c r="C831"/>
    </row>
    <row r="832" spans="2:3" x14ac:dyDescent="0.3">
      <c r="B832"/>
      <c r="C832"/>
    </row>
    <row r="833" spans="2:3" x14ac:dyDescent="0.3">
      <c r="B833"/>
      <c r="C833"/>
    </row>
    <row r="834" spans="2:3" x14ac:dyDescent="0.3">
      <c r="B834"/>
      <c r="C834"/>
    </row>
    <row r="835" spans="2:3" x14ac:dyDescent="0.3">
      <c r="B835"/>
      <c r="C835"/>
    </row>
    <row r="836" spans="2:3" x14ac:dyDescent="0.3">
      <c r="B836"/>
      <c r="C836"/>
    </row>
    <row r="837" spans="2:3" x14ac:dyDescent="0.3">
      <c r="B837"/>
      <c r="C837"/>
    </row>
    <row r="838" spans="2:3" x14ac:dyDescent="0.3">
      <c r="B838"/>
      <c r="C838"/>
    </row>
    <row r="839" spans="2:3" x14ac:dyDescent="0.3">
      <c r="B839"/>
      <c r="C839"/>
    </row>
    <row r="840" spans="2:3" x14ac:dyDescent="0.3">
      <c r="B840"/>
      <c r="C840"/>
    </row>
    <row r="841" spans="2:3" x14ac:dyDescent="0.3">
      <c r="B841"/>
      <c r="C841"/>
    </row>
    <row r="842" spans="2:3" x14ac:dyDescent="0.3">
      <c r="B842"/>
      <c r="C842"/>
    </row>
    <row r="843" spans="2:3" x14ac:dyDescent="0.3">
      <c r="B843"/>
      <c r="C843"/>
    </row>
    <row r="844" spans="2:3" x14ac:dyDescent="0.3">
      <c r="B844"/>
      <c r="C844"/>
    </row>
    <row r="845" spans="2:3" x14ac:dyDescent="0.3">
      <c r="B845"/>
      <c r="C845"/>
    </row>
    <row r="846" spans="2:3" x14ac:dyDescent="0.3">
      <c r="B846"/>
      <c r="C846"/>
    </row>
  </sheetData>
  <phoneticPr fontId="0" type="noConversion"/>
  <pageMargins left="0.74803149606299213" right="0.39370078740157483" top="0.98425196850393704" bottom="0.98425196850393704" header="0.51181102362204722" footer="0.51181102362204722"/>
  <pageSetup orientation="portrait" horizontalDpi="300" verticalDpi="300" r:id="rId1"/>
  <headerFooter alignWithMargins="0">
    <oddHeader>&amp;LTable 1.  Summary of defoliators in 25 Permanent Sample Plots in the West Nelson Forest Region, 2000.</oddHeader>
    <oddFooter>&amp;L&amp;"Franklin Gothic Book,Regular"&amp;8Compiled by JCH Forest Pest Management&amp;C&amp;"Franklin Gothic Book,Regular"&amp;8 &amp;R&amp;"Franklin Gothic Book,Regular"&amp;8Collected by Al Stewart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Table2</vt:lpstr>
      <vt:lpstr>Yearly_Adult_average</vt:lpstr>
      <vt:lpstr>TrapResults19</vt:lpstr>
      <vt:lpstr>TrapResults18</vt:lpstr>
      <vt:lpstr>TrapResults17</vt:lpstr>
      <vt:lpstr>TrapResults16</vt:lpstr>
      <vt:lpstr>TrapResults15</vt:lpstr>
      <vt:lpstr>TrapResults14</vt:lpstr>
      <vt:lpstr>TrapResults12</vt:lpstr>
      <vt:lpstr>TrapResults11</vt:lpstr>
      <vt:lpstr>TrapResult10</vt:lpstr>
      <vt:lpstr>TrapResults09</vt:lpstr>
      <vt:lpstr>TrapResults08 </vt:lpstr>
      <vt:lpstr>TrapResults07</vt:lpstr>
      <vt:lpstr>LarvalTrends</vt:lpstr>
      <vt:lpstr>Yearly_LarvalAvg</vt:lpstr>
      <vt:lpstr>2019_NFR</vt:lpstr>
      <vt:lpstr>2018_NFR</vt:lpstr>
      <vt:lpstr>2017_NFR</vt:lpstr>
      <vt:lpstr>2016_NFR</vt:lpstr>
      <vt:lpstr>2015_NFR</vt:lpstr>
      <vt:lpstr>2014_NFR</vt:lpstr>
      <vt:lpstr>2013_NFR</vt:lpstr>
      <vt:lpstr>2012_NFR </vt:lpstr>
      <vt:lpstr>2011_NFR</vt:lpstr>
      <vt:lpstr>2010_NFR</vt:lpstr>
      <vt:lpstr>2009</vt:lpstr>
      <vt:lpstr>2008</vt:lpstr>
      <vt:lpstr>2007</vt:lpstr>
      <vt:lpstr>2006_Forrest</vt:lpstr>
      <vt:lpstr>2005_Forrest</vt:lpstr>
      <vt:lpstr>2004_Forrest</vt:lpstr>
      <vt:lpstr>2003</vt:lpstr>
      <vt:lpstr>2002</vt:lpstr>
      <vt:lpstr>2001</vt:lpstr>
      <vt:lpstr>2000</vt:lpstr>
    </vt:vector>
  </TitlesOfParts>
  <Company>JCH Forest Pest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Hodge</dc:creator>
  <cp:lastModifiedBy>Duthie-Holt, Marnie FLNR:EX</cp:lastModifiedBy>
  <cp:lastPrinted>2009-10-07T01:44:23Z</cp:lastPrinted>
  <dcterms:created xsi:type="dcterms:W3CDTF">2001-08-19T18:04:06Z</dcterms:created>
  <dcterms:modified xsi:type="dcterms:W3CDTF">2019-12-04T17:58:19Z</dcterms:modified>
</cp:coreProperties>
</file>